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DOT\J20230574.000_TRU-534-22-36_26-04\Drawings\Trans\Stage 2-3 quantities\Quantities\"/>
    </mc:Choice>
  </mc:AlternateContent>
  <xr:revisionPtr revIDLastSave="0" documentId="13_ncr:1_{D646947C-53DA-4401-8577-A45BBBCE4D38}" xr6:coauthVersionLast="47" xr6:coauthVersionMax="47" xr10:uidLastSave="{00000000-0000-0000-0000-000000000000}"/>
  <bookViews>
    <workbookView xWindow="28680" yWindow="-120" windowWidth="29040" windowHeight="15720" firstSheet="1" activeTab="1" xr2:uid="{00000000-000D-0000-FFFF-FFFF00000000}"/>
  </bookViews>
  <sheets>
    <sheet name="SUBSM1" sheetId="3" state="hidden" r:id="rId1"/>
    <sheet name="EARTHWORK" sheetId="4" r:id="rId2"/>
  </sheets>
  <definedNames>
    <definedName name="_xlnm.Print_Area" localSheetId="1">EARTHWORK!$B$2:$R$78</definedName>
    <definedName name="_xlnm.Print_Area" localSheetId="0">SUBSM1!$B$1:$S$31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4" l="1"/>
  <c r="F25" i="4"/>
  <c r="F41" i="4"/>
  <c r="F37" i="4"/>
  <c r="F21" i="4"/>
  <c r="D21" i="4"/>
  <c r="F17" i="4"/>
  <c r="F19" i="4"/>
  <c r="D19" i="4"/>
  <c r="D13" i="4"/>
  <c r="F13" i="4"/>
  <c r="F15" i="4"/>
  <c r="F11" i="4"/>
  <c r="F9" i="4"/>
  <c r="F5" i="4"/>
  <c r="F3" i="4"/>
  <c r="F53" i="4"/>
  <c r="F51" i="4" l="1"/>
  <c r="F49" i="4"/>
  <c r="F47" i="4"/>
  <c r="F45" i="4"/>
  <c r="F43" i="4"/>
  <c r="D41" i="4"/>
  <c r="H43" i="4"/>
  <c r="C38" i="4"/>
  <c r="I38" i="4"/>
  <c r="G38" i="4"/>
  <c r="E38" i="4"/>
  <c r="C40" i="4"/>
  <c r="D11" i="4"/>
  <c r="H41" i="4"/>
  <c r="H45" i="4"/>
  <c r="C44" i="4"/>
  <c r="L44" i="4" s="1"/>
  <c r="C42" i="4"/>
  <c r="C36" i="4"/>
  <c r="I40" i="4" l="1"/>
  <c r="G40" i="4"/>
  <c r="L40" i="4"/>
  <c r="L36" i="4"/>
  <c r="G36" i="4"/>
  <c r="E36" i="4"/>
  <c r="I42" i="4"/>
  <c r="E40" i="4"/>
  <c r="E42" i="4"/>
  <c r="E44" i="4"/>
  <c r="G42" i="4"/>
  <c r="G44" i="4"/>
  <c r="I44" i="4"/>
  <c r="L38" i="4"/>
  <c r="I36" i="4"/>
  <c r="C28" i="4" l="1"/>
  <c r="I28" i="4" s="1"/>
  <c r="C26" i="4"/>
  <c r="I26" i="4" l="1"/>
  <c r="E26" i="4"/>
  <c r="L28" i="4"/>
  <c r="G28" i="4"/>
  <c r="E28" i="4"/>
  <c r="G26" i="4"/>
  <c r="C22" i="4"/>
  <c r="C24" i="4"/>
  <c r="E24" i="4" l="1"/>
  <c r="G24" i="4"/>
  <c r="G22" i="4"/>
  <c r="E22" i="4"/>
  <c r="I24" i="4"/>
  <c r="I22" i="4"/>
  <c r="C8" i="4" l="1"/>
  <c r="H9" i="4"/>
  <c r="H5" i="4"/>
  <c r="I8" i="4" l="1"/>
  <c r="E8" i="4"/>
  <c r="G8" i="4"/>
  <c r="C20" i="4"/>
  <c r="G20" i="4" l="1"/>
  <c r="E20" i="4"/>
  <c r="I20" i="4"/>
  <c r="C52" i="4" l="1"/>
  <c r="G52" i="4" s="1"/>
  <c r="I52" i="4" l="1"/>
  <c r="L48" i="4"/>
  <c r="C46" i="4"/>
  <c r="C50" i="4"/>
  <c r="G50" i="4" s="1"/>
  <c r="C14" i="4"/>
  <c r="I14" i="4" s="1"/>
  <c r="C12" i="4"/>
  <c r="G12" i="4" s="1"/>
  <c r="C18" i="4"/>
  <c r="L46" i="4" l="1"/>
  <c r="L34" i="4"/>
  <c r="L52" i="4"/>
  <c r="L12" i="4"/>
  <c r="E12" i="4"/>
  <c r="I12" i="4"/>
  <c r="L16" i="4"/>
  <c r="E46" i="4"/>
  <c r="G46" i="4"/>
  <c r="I46" i="4"/>
  <c r="G18" i="4"/>
  <c r="E18" i="4"/>
  <c r="L14" i="4"/>
  <c r="G14" i="4"/>
  <c r="E14" i="4"/>
  <c r="L20" i="4"/>
  <c r="L50" i="4"/>
  <c r="L26" i="4"/>
  <c r="L42" i="4"/>
  <c r="L32" i="4"/>
  <c r="I18" i="4"/>
  <c r="L18" i="4"/>
  <c r="C4" i="4" l="1"/>
  <c r="E4" i="4" l="1"/>
  <c r="G4" i="4"/>
  <c r="I4" i="4"/>
  <c r="E52" i="4"/>
  <c r="I50" i="4" l="1"/>
  <c r="E50" i="4"/>
  <c r="G19" i="3"/>
  <c r="G18" i="3"/>
  <c r="H30" i="3"/>
  <c r="H16" i="3"/>
  <c r="H15" i="3"/>
  <c r="H13" i="3"/>
  <c r="H12" i="3"/>
  <c r="J28" i="3" l="1"/>
  <c r="J26" i="3"/>
  <c r="J23" i="3"/>
  <c r="J21" i="3"/>
  <c r="K29" i="3"/>
  <c r="K27" i="3"/>
  <c r="K24" i="3"/>
  <c r="K22" i="3"/>
  <c r="F21" i="3"/>
  <c r="P30" i="3"/>
  <c r="M16" i="3"/>
  <c r="M15" i="3"/>
  <c r="M13" i="3"/>
  <c r="M12" i="3"/>
  <c r="N30" i="3"/>
  <c r="C6" i="4"/>
  <c r="C10" i="4"/>
  <c r="E6" i="4" l="1"/>
  <c r="E57" i="4" s="1"/>
  <c r="G6" i="4"/>
  <c r="E10" i="4"/>
  <c r="I10" i="4"/>
  <c r="I6" i="4"/>
  <c r="L10" i="4"/>
  <c r="L6" i="4"/>
  <c r="L4" i="4"/>
  <c r="G10" i="4"/>
  <c r="G57" i="4" s="1"/>
  <c r="J30" i="3"/>
  <c r="K30" i="3"/>
  <c r="M30" i="3"/>
  <c r="E19" i="3"/>
  <c r="E18" i="3"/>
  <c r="I57" i="4" l="1"/>
  <c r="Q22" i="4" s="1"/>
  <c r="Q29" i="4"/>
  <c r="L57" i="4"/>
  <c r="G30" i="3"/>
  <c r="Q17" i="4" l="1"/>
  <c r="Q19" i="4"/>
  <c r="Q18" i="4"/>
  <c r="Q21" i="4"/>
  <c r="Q20" i="4"/>
</calcChain>
</file>

<file path=xl/sharedStrings.xml><?xml version="1.0" encoding="utf-8"?>
<sst xmlns="http://schemas.openxmlformats.org/spreadsheetml/2006/main" count="109" uniqueCount="78">
  <si>
    <t>STATION TO STATION</t>
  </si>
  <si>
    <t>LENGTH</t>
  </si>
  <si>
    <t>FT</t>
  </si>
  <si>
    <t>AREA</t>
  </si>
  <si>
    <t>SQ FT</t>
  </si>
  <si>
    <t>CY</t>
  </si>
  <si>
    <t>GUARDRAIL, TYPE MGS, WITH LONG POSTS</t>
  </si>
  <si>
    <t>TOTALS CARRIED TO GENERAL SUMMARY</t>
  </si>
  <si>
    <t>MGS BRIDGE TERMINAL ASSEMBY, TYPE 1</t>
  </si>
  <si>
    <t>EACH</t>
  </si>
  <si>
    <t>GUARDRAIL REMOVED</t>
  </si>
  <si>
    <t>CUT (CY)</t>
  </si>
  <si>
    <t>CUT (SF)</t>
  </si>
  <si>
    <t>LENGTH (FT)</t>
  </si>
  <si>
    <t>STATION</t>
  </si>
  <si>
    <t>FILL (SF)</t>
  </si>
  <si>
    <t>FILL (CY)</t>
  </si>
  <si>
    <t>SEEDING WIDTH (FT)</t>
  </si>
  <si>
    <t>SEEDING (SY)</t>
  </si>
  <si>
    <t>TOPSOIL</t>
  </si>
  <si>
    <t>REPAIR SEEDING AND MULCHING</t>
  </si>
  <si>
    <t>COMMERCIAL FERTILIZER</t>
  </si>
  <si>
    <t>LIME</t>
  </si>
  <si>
    <t>WATER</t>
  </si>
  <si>
    <t>DUST CONTROL WATER</t>
  </si>
  <si>
    <t>ROCK CHANNEL PROTECTION, TYPE A WITH FILTER</t>
  </si>
  <si>
    <t>REF</t>
  </si>
  <si>
    <t xml:space="preserve"> NO. </t>
  </si>
  <si>
    <t>GR-1</t>
  </si>
  <si>
    <t>GR-2</t>
  </si>
  <si>
    <t>GR-3</t>
  </si>
  <si>
    <t>GR-4</t>
  </si>
  <si>
    <t>R-1</t>
  </si>
  <si>
    <t>R-2</t>
  </si>
  <si>
    <t>RCP-1</t>
  </si>
  <si>
    <t>RCP-2</t>
  </si>
  <si>
    <t>RCP-3</t>
  </si>
  <si>
    <t>RCP-4</t>
  </si>
  <si>
    <t>ROCK CHANNEL PROTECTION, TYPE C WITH AGGREGATE FILTER</t>
  </si>
  <si>
    <t>SIDE</t>
  </si>
  <si>
    <t>RT</t>
  </si>
  <si>
    <t>LT</t>
  </si>
  <si>
    <t>220+77.28</t>
  </si>
  <si>
    <t>220+77.30</t>
  </si>
  <si>
    <t>223+39.93</t>
  </si>
  <si>
    <t>223+39.92</t>
  </si>
  <si>
    <t>222+52.43</t>
  </si>
  <si>
    <t>222+52.42</t>
  </si>
  <si>
    <t>221+64.77</t>
  </si>
  <si>
    <t>221+64.79</t>
  </si>
  <si>
    <t>RCP-5</t>
  </si>
  <si>
    <t>RCP-6</t>
  </si>
  <si>
    <t>RCP-7</t>
  </si>
  <si>
    <t>RCP-8</t>
  </si>
  <si>
    <t>221+72+84</t>
  </si>
  <si>
    <t>221+98.65</t>
  </si>
  <si>
    <t>222+18.63</t>
  </si>
  <si>
    <t>222+44.34</t>
  </si>
  <si>
    <t>221+72.84</t>
  </si>
  <si>
    <t>221+89.34</t>
  </si>
  <si>
    <t>222+27.84</t>
  </si>
  <si>
    <t>STA</t>
  </si>
  <si>
    <t>RESHAPING UNDER GUARDRAL</t>
  </si>
  <si>
    <t>EARTHWORK AND SEEDING TABLE</t>
  </si>
  <si>
    <t>BARRIER REFLECTOR, TYPE 2, BI-DIRECTIONAL</t>
  </si>
  <si>
    <t>TOTALS CARRIED TO THE GENERAL SUMMARY</t>
  </si>
  <si>
    <t>SLOPE EROSION PROTECTION MAT (SY)</t>
  </si>
  <si>
    <t xml:space="preserve">2:1 SLOPE WIDTH (FT) </t>
  </si>
  <si>
    <t>TOTAL</t>
  </si>
  <si>
    <t>EXCAVATION OF DRIVES</t>
  </si>
  <si>
    <t>area (sf)</t>
  </si>
  <si>
    <t>volume (removing 2") (cy)</t>
  </si>
  <si>
    <t>EMBANKMENT OF DRIVES</t>
  </si>
  <si>
    <t>volume (cy)</t>
  </si>
  <si>
    <t>SEEDING</t>
  </si>
  <si>
    <t>width (ft)</t>
  </si>
  <si>
    <t>seeding (sy)</t>
  </si>
  <si>
    <t>INTER-SEEDING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</si>
</sst>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\+00.00"/>
    <numFmt numFmtId="165" formatCode="0.0"/>
    <numFmt numFmtId="166" formatCode="0.000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Verdana"/>
      <family val="2"/>
    </font>
    <font>
      <i/>
      <sz val="10"/>
      <name val="Arial"/>
      <family val="2"/>
    </font>
    <font>
      <b/>
      <sz val="10"/>
      <name val="Verdana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sz val="14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53">
    <xf numFmtId="0" fontId="0" fillId="0" borderId="0" xfId="0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0" fillId="0" borderId="0" xfId="0" applyFill="1"/>
    <xf numFmtId="164" fontId="5" fillId="0" borderId="10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0" fillId="0" borderId="15" xfId="0" applyBorder="1"/>
    <xf numFmtId="0" fontId="0" fillId="0" borderId="10" xfId="0" applyBorder="1"/>
    <xf numFmtId="0" fontId="0" fillId="0" borderId="6" xfId="0" applyBorder="1"/>
    <xf numFmtId="0" fontId="0" fillId="0" borderId="9" xfId="0" applyBorder="1"/>
    <xf numFmtId="0" fontId="0" fillId="0" borderId="5" xfId="0" applyBorder="1"/>
    <xf numFmtId="0" fontId="0" fillId="0" borderId="5" xfId="0" applyFill="1" applyBorder="1"/>
    <xf numFmtId="164" fontId="5" fillId="0" borderId="12" xfId="0" applyNumberFormat="1" applyFont="1" applyBorder="1" applyAlignment="1">
      <alignment horizontal="center" vertical="center"/>
    </xf>
    <xf numFmtId="0" fontId="0" fillId="0" borderId="9" xfId="0" applyFill="1" applyBorder="1"/>
    <xf numFmtId="0" fontId="0" fillId="0" borderId="0" xfId="0" applyBorder="1"/>
    <xf numFmtId="0" fontId="0" fillId="0" borderId="18" xfId="0" applyBorder="1"/>
    <xf numFmtId="164" fontId="3" fillId="0" borderId="0" xfId="1" applyNumberFormat="1"/>
    <xf numFmtId="0" fontId="3" fillId="0" borderId="0" xfId="1" applyNumberFormat="1"/>
    <xf numFmtId="0" fontId="7" fillId="0" borderId="0" xfId="0" applyFont="1"/>
    <xf numFmtId="164" fontId="2" fillId="0" borderId="0" xfId="1" applyNumberFormat="1" applyFont="1"/>
    <xf numFmtId="2" fontId="2" fillId="0" borderId="0" xfId="1" applyNumberFormat="1" applyFont="1"/>
    <xf numFmtId="2" fontId="2" fillId="0" borderId="0" xfId="1" applyNumberFormat="1" applyFont="1" applyBorder="1"/>
    <xf numFmtId="164" fontId="2" fillId="0" borderId="0" xfId="1" applyNumberFormat="1" applyFont="1" applyBorder="1"/>
    <xf numFmtId="164" fontId="8" fillId="0" borderId="0" xfId="1" applyNumberFormat="1" applyFont="1" applyAlignment="1"/>
    <xf numFmtId="164" fontId="3" fillId="0" borderId="0" xfId="1" applyNumberFormat="1" applyBorder="1"/>
    <xf numFmtId="164" fontId="8" fillId="0" borderId="0" xfId="1" applyNumberFormat="1" applyFont="1" applyBorder="1" applyAlignment="1"/>
    <xf numFmtId="166" fontId="2" fillId="0" borderId="0" xfId="1" applyNumberFormat="1" applyFont="1" applyBorder="1"/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2" fontId="11" fillId="0" borderId="13" xfId="1" applyNumberFormat="1" applyFont="1" applyFill="1" applyBorder="1" applyAlignment="1">
      <alignment horizontal="center"/>
    </xf>
    <xf numFmtId="164" fontId="11" fillId="0" borderId="23" xfId="1" applyNumberFormat="1" applyFont="1" applyBorder="1" applyAlignment="1">
      <alignment horizontal="center"/>
    </xf>
    <xf numFmtId="0" fontId="11" fillId="0" borderId="12" xfId="1" applyNumberFormat="1" applyFont="1" applyBorder="1" applyAlignment="1">
      <alignment horizontal="center"/>
    </xf>
    <xf numFmtId="2" fontId="11" fillId="0" borderId="12" xfId="1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2" fontId="5" fillId="0" borderId="12" xfId="0" applyNumberFormat="1" applyFont="1" applyBorder="1" applyAlignment="1">
      <alignment horizontal="center" vertical="center"/>
    </xf>
    <xf numFmtId="2" fontId="5" fillId="0" borderId="13" xfId="0" applyNumberFormat="1" applyFont="1" applyFill="1" applyBorder="1" applyAlignment="1">
      <alignment horizontal="center"/>
    </xf>
    <xf numFmtId="2" fontId="5" fillId="0" borderId="5" xfId="0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29" xfId="0" applyBorder="1"/>
    <xf numFmtId="0" fontId="0" fillId="0" borderId="28" xfId="0" applyBorder="1"/>
    <xf numFmtId="164" fontId="11" fillId="0" borderId="24" xfId="1" applyNumberFormat="1" applyFont="1" applyFill="1" applyBorder="1" applyAlignment="1">
      <alignment horizontal="center"/>
    </xf>
    <xf numFmtId="2" fontId="5" fillId="0" borderId="17" xfId="0" applyNumberFormat="1" applyFont="1" applyFill="1" applyBorder="1" applyAlignment="1">
      <alignment horizontal="center"/>
    </xf>
    <xf numFmtId="0" fontId="0" fillId="0" borderId="29" xfId="0" applyFill="1" applyBorder="1"/>
    <xf numFmtId="0" fontId="7" fillId="0" borderId="0" xfId="0" applyFont="1" applyFill="1"/>
    <xf numFmtId="164" fontId="3" fillId="0" borderId="23" xfId="1" applyNumberFormat="1" applyFill="1" applyBorder="1"/>
    <xf numFmtId="2" fontId="5" fillId="0" borderId="6" xfId="0" applyNumberFormat="1" applyFont="1" applyFill="1" applyBorder="1" applyAlignment="1">
      <alignment horizontal="center"/>
    </xf>
    <xf numFmtId="0" fontId="0" fillId="2" borderId="5" xfId="0" applyFill="1" applyBorder="1"/>
    <xf numFmtId="0" fontId="0" fillId="2" borderId="0" xfId="0" applyFill="1"/>
    <xf numFmtId="2" fontId="1" fillId="0" borderId="0" xfId="1" applyNumberFormat="1" applyFont="1"/>
    <xf numFmtId="164" fontId="1" fillId="0" borderId="0" xfId="1" applyNumberFormat="1" applyFont="1" applyBorder="1"/>
    <xf numFmtId="2" fontId="0" fillId="0" borderId="0" xfId="0" applyNumberFormat="1"/>
    <xf numFmtId="0" fontId="5" fillId="2" borderId="30" xfId="0" applyFont="1" applyFill="1" applyBorder="1" applyAlignment="1">
      <alignment horizontal="center" vertical="center" wrapText="1"/>
    </xf>
    <xf numFmtId="2" fontId="11" fillId="2" borderId="12" xfId="1" applyNumberFormat="1" applyFont="1" applyFill="1" applyBorder="1" applyAlignment="1">
      <alignment horizontal="center"/>
    </xf>
    <xf numFmtId="2" fontId="11" fillId="2" borderId="13" xfId="1" applyNumberFormat="1" applyFont="1" applyFill="1" applyBorder="1" applyAlignment="1">
      <alignment horizontal="center"/>
    </xf>
    <xf numFmtId="2" fontId="5" fillId="2" borderId="11" xfId="0" applyNumberFormat="1" applyFont="1" applyFill="1" applyBorder="1" applyAlignment="1">
      <alignment horizontal="center"/>
    </xf>
    <xf numFmtId="164" fontId="10" fillId="2" borderId="33" xfId="1" applyNumberFormat="1" applyFont="1" applyFill="1" applyBorder="1" applyAlignment="1">
      <alignment vertical="center" wrapText="1"/>
    </xf>
    <xf numFmtId="2" fontId="5" fillId="2" borderId="34" xfId="0" applyNumberFormat="1" applyFont="1" applyFill="1" applyBorder="1" applyAlignment="1">
      <alignment horizontal="center" vertical="center"/>
    </xf>
    <xf numFmtId="164" fontId="10" fillId="2" borderId="32" xfId="1" applyNumberFormat="1" applyFont="1" applyFill="1" applyBorder="1" applyAlignment="1">
      <alignment vertical="center" wrapText="1"/>
    </xf>
    <xf numFmtId="0" fontId="0" fillId="2" borderId="32" xfId="0" applyFill="1" applyBorder="1"/>
    <xf numFmtId="0" fontId="5" fillId="0" borderId="13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2" fontId="5" fillId="0" borderId="14" xfId="0" applyNumberFormat="1" applyFont="1" applyFill="1" applyBorder="1" applyAlignment="1">
      <alignment horizontal="center" vertical="center"/>
    </xf>
    <xf numFmtId="2" fontId="0" fillId="0" borderId="0" xfId="0" applyNumberFormat="1" applyFill="1"/>
    <xf numFmtId="2" fontId="5" fillId="3" borderId="13" xfId="0" applyNumberFormat="1" applyFont="1" applyFill="1" applyBorder="1" applyAlignment="1">
      <alignment horizontal="center"/>
    </xf>
    <xf numFmtId="2" fontId="5" fillId="3" borderId="17" xfId="0" applyNumberFormat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164" fontId="11" fillId="3" borderId="24" xfId="1" applyNumberFormat="1" applyFont="1" applyFill="1" applyBorder="1" applyAlignment="1">
      <alignment horizontal="center"/>
    </xf>
    <xf numFmtId="2" fontId="11" fillId="3" borderId="13" xfId="1" applyNumberFormat="1" applyFont="1" applyFill="1" applyBorder="1" applyAlignment="1">
      <alignment horizontal="center"/>
    </xf>
    <xf numFmtId="2" fontId="5" fillId="4" borderId="13" xfId="0" applyNumberFormat="1" applyFont="1" applyFill="1" applyBorder="1" applyAlignment="1">
      <alignment horizontal="center"/>
    </xf>
    <xf numFmtId="2" fontId="5" fillId="4" borderId="17" xfId="0" applyNumberFormat="1" applyFont="1" applyFill="1" applyBorder="1" applyAlignment="1">
      <alignment horizontal="center"/>
    </xf>
    <xf numFmtId="164" fontId="5" fillId="4" borderId="24" xfId="1" applyNumberFormat="1" applyFont="1" applyFill="1" applyBorder="1" applyAlignment="1">
      <alignment horizontal="center"/>
    </xf>
    <xf numFmtId="2" fontId="5" fillId="4" borderId="13" xfId="1" applyNumberFormat="1" applyFont="1" applyFill="1" applyBorder="1" applyAlignment="1">
      <alignment horizontal="center"/>
    </xf>
    <xf numFmtId="0" fontId="7" fillId="0" borderId="35" xfId="0" applyFont="1" applyBorder="1"/>
    <xf numFmtId="0" fontId="0" fillId="0" borderId="36" xfId="0" applyBorder="1"/>
    <xf numFmtId="0" fontId="0" fillId="0" borderId="37" xfId="0" applyBorder="1"/>
    <xf numFmtId="0" fontId="7" fillId="0" borderId="28" xfId="0" applyFont="1" applyFill="1" applyBorder="1"/>
    <xf numFmtId="0" fontId="0" fillId="0" borderId="37" xfId="0" applyFill="1" applyBorder="1"/>
    <xf numFmtId="0" fontId="0" fillId="0" borderId="28" xfId="0" applyFill="1" applyBorder="1"/>
    <xf numFmtId="0" fontId="7" fillId="0" borderId="38" xfId="0" applyFont="1" applyFill="1" applyBorder="1"/>
    <xf numFmtId="0" fontId="0" fillId="0" borderId="39" xfId="0" applyFill="1" applyBorder="1"/>
    <xf numFmtId="2" fontId="11" fillId="2" borderId="0" xfId="1" applyNumberFormat="1" applyFont="1" applyFill="1" applyBorder="1" applyAlignment="1">
      <alignment horizontal="center"/>
    </xf>
    <xf numFmtId="2" fontId="5" fillId="2" borderId="37" xfId="0" applyNumberFormat="1" applyFont="1" applyFill="1" applyBorder="1" applyAlignment="1">
      <alignment horizontal="center"/>
    </xf>
    <xf numFmtId="0" fontId="7" fillId="2" borderId="28" xfId="0" applyFont="1" applyFill="1" applyBorder="1"/>
    <xf numFmtId="0" fontId="0" fillId="2" borderId="37" xfId="0" applyFill="1" applyBorder="1"/>
    <xf numFmtId="0" fontId="0" fillId="2" borderId="28" xfId="0" applyFill="1" applyBorder="1"/>
    <xf numFmtId="164" fontId="11" fillId="4" borderId="24" xfId="1" applyNumberFormat="1" applyFont="1" applyFill="1" applyBorder="1" applyAlignment="1">
      <alignment horizontal="center"/>
    </xf>
    <xf numFmtId="2" fontId="11" fillId="4" borderId="13" xfId="1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 textRotation="180"/>
    </xf>
    <xf numFmtId="0" fontId="5" fillId="0" borderId="1" xfId="0" applyFont="1" applyBorder="1" applyAlignment="1">
      <alignment horizontal="center" vertical="center" textRotation="180"/>
    </xf>
    <xf numFmtId="0" fontId="5" fillId="0" borderId="11" xfId="0" applyFont="1" applyBorder="1" applyAlignment="1">
      <alignment horizontal="center" vertical="center" textRotation="180"/>
    </xf>
    <xf numFmtId="0" fontId="5" fillId="0" borderId="6" xfId="0" applyFont="1" applyBorder="1" applyAlignment="1">
      <alignment horizontal="center" vertical="center" textRotation="180" wrapText="1"/>
    </xf>
    <xf numFmtId="1" fontId="5" fillId="0" borderId="16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180" wrapText="1"/>
    </xf>
    <xf numFmtId="0" fontId="5" fillId="0" borderId="5" xfId="0" applyFont="1" applyBorder="1" applyAlignment="1">
      <alignment horizontal="center" vertical="center" textRotation="180"/>
    </xf>
    <xf numFmtId="0" fontId="5" fillId="0" borderId="4" xfId="0" applyFont="1" applyBorder="1" applyAlignment="1">
      <alignment horizontal="center" vertical="center" textRotation="180" wrapText="1"/>
    </xf>
    <xf numFmtId="0" fontId="5" fillId="0" borderId="1" xfId="0" applyFont="1" applyBorder="1" applyAlignment="1">
      <alignment horizontal="center" vertical="center" textRotation="180" wrapText="1"/>
    </xf>
    <xf numFmtId="0" fontId="5" fillId="0" borderId="11" xfId="0" applyFont="1" applyBorder="1" applyAlignment="1">
      <alignment horizontal="center" vertical="center" textRotation="180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textRotation="180" wrapText="1"/>
    </xf>
    <xf numFmtId="164" fontId="9" fillId="0" borderId="25" xfId="1" applyNumberFormat="1" applyFont="1" applyBorder="1" applyAlignment="1">
      <alignment horizontal="center"/>
    </xf>
    <xf numFmtId="164" fontId="9" fillId="0" borderId="26" xfId="1" applyNumberFormat="1" applyFont="1" applyBorder="1" applyAlignment="1">
      <alignment horizontal="center"/>
    </xf>
    <xf numFmtId="164" fontId="9" fillId="0" borderId="27" xfId="1" applyNumberFormat="1" applyFont="1" applyBorder="1" applyAlignment="1">
      <alignment horizontal="center"/>
    </xf>
    <xf numFmtId="164" fontId="10" fillId="0" borderId="15" xfId="1" applyNumberFormat="1" applyFont="1" applyBorder="1" applyAlignment="1">
      <alignment horizontal="center" vertical="center" wrapText="1"/>
    </xf>
    <xf numFmtId="164" fontId="10" fillId="0" borderId="12" xfId="1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2" fontId="11" fillId="5" borderId="13" xfId="1" applyNumberFormat="1" applyFont="1" applyFill="1" applyBorder="1" applyAlignment="1">
      <alignment horizontal="center"/>
    </xf>
    <xf numFmtId="2" fontId="5" fillId="6" borderId="13" xfId="1" applyNumberFormat="1" applyFont="1" applyFill="1" applyBorder="1" applyAlignment="1">
      <alignment horizontal="center"/>
    </xf>
    <xf numFmtId="2" fontId="5" fillId="6" borderId="13" xfId="0" applyNumberFormat="1" applyFont="1" applyFill="1" applyBorder="1" applyAlignment="1">
      <alignment horizontal="center"/>
    </xf>
    <xf numFmtId="2" fontId="5" fillId="0" borderId="13" xfId="1" applyNumberFormat="1" applyFont="1" applyFill="1" applyBorder="1" applyAlignment="1">
      <alignment horizontal="center"/>
    </xf>
    <xf numFmtId="164" fontId="11" fillId="5" borderId="24" xfId="1" applyNumberFormat="1" applyFont="1" applyFill="1" applyBorder="1" applyAlignment="1">
      <alignment horizontal="center"/>
    </xf>
  </cellXfs>
  <cellStyles count="2">
    <cellStyle name="Normal" xfId="0" builtinId="0"/>
    <cellStyle name="Normal 2" xfId="1" xr:uid="{D6D3B554-F461-41A0-929A-40447B44E59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26</xdr:col>
      <xdr:colOff>507206</xdr:colOff>
      <xdr:row>75</xdr:row>
      <xdr:rowOff>0</xdr:rowOff>
    </xdr:to>
    <xdr:grpSp>
      <xdr:nvGrpSpPr>
        <xdr:cNvPr id="1081" name="InnerSheetBorder">
          <a:extLst>
            <a:ext uri="{FF2B5EF4-FFF2-40B4-BE49-F238E27FC236}">
              <a16:creationId xmlns:a16="http://schemas.microsoft.com/office/drawing/2014/main" id="{AC479712-E565-4100-B12A-251521CD52A4}"/>
            </a:ext>
          </a:extLst>
        </xdr:cNvPr>
        <xdr:cNvGrpSpPr>
          <a:grpSpLocks/>
        </xdr:cNvGrpSpPr>
      </xdr:nvGrpSpPr>
      <xdr:grpSpPr bwMode="auto">
        <a:xfrm>
          <a:off x="0" y="0"/>
          <a:ext cx="17652206" cy="12134850"/>
          <a:chOff x="256" y="102"/>
          <a:chExt cx="1852" cy="1275"/>
        </a:xfrm>
      </xdr:grpSpPr>
      <xdr:sp macro="" textlink="">
        <xdr:nvSpPr>
          <xdr:cNvPr id="1082" name="OB2">
            <a:extLst>
              <a:ext uri="{FF2B5EF4-FFF2-40B4-BE49-F238E27FC236}">
                <a16:creationId xmlns:a16="http://schemas.microsoft.com/office/drawing/2014/main" id="{B7F2C79A-8DFA-4148-A627-FBE54B62D51E}"/>
              </a:ext>
            </a:extLst>
          </xdr:cNvPr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3" name="OB1">
            <a:extLst>
              <a:ext uri="{FF2B5EF4-FFF2-40B4-BE49-F238E27FC236}">
                <a16:creationId xmlns:a16="http://schemas.microsoft.com/office/drawing/2014/main" id="{C4A8FAF2-6C50-4402-9140-AB82E8F7D2E9}"/>
              </a:ext>
            </a:extLst>
          </xdr:cNvPr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4" name="OB3">
            <a:extLst>
              <a:ext uri="{FF2B5EF4-FFF2-40B4-BE49-F238E27FC236}">
                <a16:creationId xmlns:a16="http://schemas.microsoft.com/office/drawing/2014/main" id="{21D8E58A-56E4-4636-842B-E44731918B73}"/>
              </a:ext>
            </a:extLst>
          </xdr:cNvPr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5" name="OB4">
            <a:extLst>
              <a:ext uri="{FF2B5EF4-FFF2-40B4-BE49-F238E27FC236}">
                <a16:creationId xmlns:a16="http://schemas.microsoft.com/office/drawing/2014/main" id="{318CCF97-6E81-4D6B-B678-16F4C1AE15FC}"/>
              </a:ext>
            </a:extLst>
          </xdr:cNvPr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1"/>
  <sheetViews>
    <sheetView zoomScaleNormal="100" workbookViewId="0">
      <selection activeCell="P2" sqref="P2:P9"/>
    </sheetView>
  </sheetViews>
  <sheetFormatPr defaultRowHeight="12.75" x14ac:dyDescent="0.2"/>
  <cols>
    <col min="1" max="1" width="9.5703125" customWidth="1"/>
    <col min="2" max="3" width="15.7109375" customWidth="1"/>
    <col min="4" max="6" width="8.28515625" customWidth="1"/>
    <col min="7" max="7" width="9.5703125" style="14" customWidth="1"/>
    <col min="8" max="17" width="9.5703125" customWidth="1"/>
    <col min="18" max="18" width="9.5703125" style="14" customWidth="1"/>
    <col min="19" max="22" width="9.5703125" customWidth="1"/>
    <col min="23" max="23" width="10.7109375" customWidth="1"/>
  </cols>
  <sheetData>
    <row r="1" spans="1:22" ht="12.75" customHeight="1" x14ac:dyDescent="0.2">
      <c r="A1" s="130"/>
      <c r="B1" s="117" t="s">
        <v>0</v>
      </c>
      <c r="C1" s="118"/>
      <c r="D1" s="111" t="s">
        <v>39</v>
      </c>
      <c r="E1" s="111" t="s">
        <v>1</v>
      </c>
      <c r="F1" s="111" t="s">
        <v>3</v>
      </c>
      <c r="G1" s="1">
        <v>202</v>
      </c>
      <c r="H1" s="38">
        <v>209</v>
      </c>
      <c r="I1" s="39"/>
      <c r="J1" s="133">
        <v>601</v>
      </c>
      <c r="K1" s="134"/>
      <c r="L1" s="41"/>
      <c r="M1" s="133">
        <v>606</v>
      </c>
      <c r="N1" s="134"/>
      <c r="O1" s="1"/>
      <c r="P1" s="1">
        <v>626</v>
      </c>
      <c r="Q1" s="1"/>
      <c r="R1" s="11"/>
      <c r="S1" s="1"/>
      <c r="T1" s="41"/>
      <c r="U1" s="41"/>
      <c r="V1" s="40"/>
    </row>
    <row r="2" spans="1:22" ht="12.75" customHeight="1" x14ac:dyDescent="0.2">
      <c r="A2" s="131"/>
      <c r="B2" s="119"/>
      <c r="C2" s="119"/>
      <c r="D2" s="112"/>
      <c r="E2" s="112"/>
      <c r="F2" s="112"/>
      <c r="G2" s="141" t="s">
        <v>10</v>
      </c>
      <c r="H2" s="125" t="s">
        <v>62</v>
      </c>
      <c r="I2" s="125"/>
      <c r="J2" s="127" t="s">
        <v>25</v>
      </c>
      <c r="K2" s="125" t="s">
        <v>38</v>
      </c>
      <c r="L2" s="125"/>
      <c r="M2" s="127" t="s">
        <v>6</v>
      </c>
      <c r="N2" s="127" t="s">
        <v>8</v>
      </c>
      <c r="O2" s="125"/>
      <c r="P2" s="125" t="s">
        <v>64</v>
      </c>
      <c r="Q2" s="126"/>
      <c r="R2" s="141"/>
      <c r="S2" s="125"/>
      <c r="T2" s="125"/>
      <c r="U2" s="114"/>
      <c r="V2" s="114"/>
    </row>
    <row r="3" spans="1:22" ht="12.75" customHeight="1" x14ac:dyDescent="0.2">
      <c r="A3" s="131"/>
      <c r="B3" s="119"/>
      <c r="C3" s="119"/>
      <c r="D3" s="112"/>
      <c r="E3" s="112"/>
      <c r="F3" s="112"/>
      <c r="G3" s="141"/>
      <c r="H3" s="125"/>
      <c r="I3" s="125"/>
      <c r="J3" s="128"/>
      <c r="K3" s="125"/>
      <c r="L3" s="125"/>
      <c r="M3" s="128"/>
      <c r="N3" s="128"/>
      <c r="O3" s="125"/>
      <c r="P3" s="125"/>
      <c r="Q3" s="126"/>
      <c r="R3" s="141"/>
      <c r="S3" s="125"/>
      <c r="T3" s="125"/>
      <c r="U3" s="114"/>
      <c r="V3" s="114"/>
    </row>
    <row r="4" spans="1:22" ht="12.75" customHeight="1" x14ac:dyDescent="0.2">
      <c r="A4" s="131"/>
      <c r="B4" s="119"/>
      <c r="C4" s="119"/>
      <c r="D4" s="112"/>
      <c r="E4" s="112"/>
      <c r="F4" s="112"/>
      <c r="G4" s="141"/>
      <c r="H4" s="125"/>
      <c r="I4" s="125"/>
      <c r="J4" s="128"/>
      <c r="K4" s="125"/>
      <c r="L4" s="125"/>
      <c r="M4" s="128"/>
      <c r="N4" s="128"/>
      <c r="O4" s="125"/>
      <c r="P4" s="125"/>
      <c r="Q4" s="126"/>
      <c r="R4" s="141"/>
      <c r="S4" s="125"/>
      <c r="T4" s="125"/>
      <c r="U4" s="114"/>
      <c r="V4" s="114"/>
    </row>
    <row r="5" spans="1:22" ht="12.75" customHeight="1" x14ac:dyDescent="0.2">
      <c r="A5" s="42" t="s">
        <v>26</v>
      </c>
      <c r="B5" s="119"/>
      <c r="C5" s="119"/>
      <c r="D5" s="112"/>
      <c r="E5" s="112"/>
      <c r="F5" s="112"/>
      <c r="G5" s="141"/>
      <c r="H5" s="125"/>
      <c r="I5" s="125"/>
      <c r="J5" s="128"/>
      <c r="K5" s="125"/>
      <c r="L5" s="125"/>
      <c r="M5" s="128"/>
      <c r="N5" s="128"/>
      <c r="O5" s="125"/>
      <c r="P5" s="125"/>
      <c r="Q5" s="126"/>
      <c r="R5" s="141"/>
      <c r="S5" s="125"/>
      <c r="T5" s="125"/>
      <c r="U5" s="114"/>
      <c r="V5" s="114"/>
    </row>
    <row r="6" spans="1:22" ht="12.75" customHeight="1" x14ac:dyDescent="0.2">
      <c r="A6" s="42" t="s">
        <v>27</v>
      </c>
      <c r="B6" s="119"/>
      <c r="C6" s="119"/>
      <c r="D6" s="112"/>
      <c r="E6" s="112"/>
      <c r="F6" s="112"/>
      <c r="G6" s="141"/>
      <c r="H6" s="125"/>
      <c r="I6" s="125"/>
      <c r="J6" s="128"/>
      <c r="K6" s="125"/>
      <c r="L6" s="125"/>
      <c r="M6" s="128"/>
      <c r="N6" s="128"/>
      <c r="O6" s="125"/>
      <c r="P6" s="125"/>
      <c r="Q6" s="126"/>
      <c r="R6" s="141"/>
      <c r="S6" s="125"/>
      <c r="T6" s="125"/>
      <c r="U6" s="114"/>
      <c r="V6" s="114"/>
    </row>
    <row r="7" spans="1:22" ht="12.75" customHeight="1" x14ac:dyDescent="0.2">
      <c r="A7" s="131"/>
      <c r="B7" s="119"/>
      <c r="C7" s="119"/>
      <c r="D7" s="112"/>
      <c r="E7" s="112"/>
      <c r="F7" s="112"/>
      <c r="G7" s="141"/>
      <c r="H7" s="125"/>
      <c r="I7" s="125"/>
      <c r="J7" s="128"/>
      <c r="K7" s="125"/>
      <c r="L7" s="125"/>
      <c r="M7" s="128"/>
      <c r="N7" s="128"/>
      <c r="O7" s="125"/>
      <c r="P7" s="125"/>
      <c r="Q7" s="126"/>
      <c r="R7" s="141"/>
      <c r="S7" s="125"/>
      <c r="T7" s="125"/>
      <c r="U7" s="114"/>
      <c r="V7" s="114"/>
    </row>
    <row r="8" spans="1:22" ht="12.75" customHeight="1" x14ac:dyDescent="0.2">
      <c r="A8" s="131"/>
      <c r="B8" s="119"/>
      <c r="C8" s="119"/>
      <c r="D8" s="112"/>
      <c r="E8" s="112"/>
      <c r="F8" s="112"/>
      <c r="G8" s="141"/>
      <c r="H8" s="125"/>
      <c r="I8" s="125"/>
      <c r="J8" s="128"/>
      <c r="K8" s="125"/>
      <c r="L8" s="125"/>
      <c r="M8" s="128"/>
      <c r="N8" s="128"/>
      <c r="O8" s="125"/>
      <c r="P8" s="125"/>
      <c r="Q8" s="126"/>
      <c r="R8" s="141"/>
      <c r="S8" s="125"/>
      <c r="T8" s="125"/>
      <c r="U8" s="114"/>
      <c r="V8" s="114"/>
    </row>
    <row r="9" spans="1:22" ht="12.75" customHeight="1" x14ac:dyDescent="0.2">
      <c r="A9" s="131"/>
      <c r="B9" s="119"/>
      <c r="C9" s="119"/>
      <c r="D9" s="112"/>
      <c r="E9" s="112"/>
      <c r="F9" s="113"/>
      <c r="G9" s="141"/>
      <c r="H9" s="125"/>
      <c r="I9" s="125"/>
      <c r="J9" s="129"/>
      <c r="K9" s="125"/>
      <c r="L9" s="125"/>
      <c r="M9" s="129"/>
      <c r="N9" s="129"/>
      <c r="O9" s="125"/>
      <c r="P9" s="125"/>
      <c r="Q9" s="126"/>
      <c r="R9" s="141"/>
      <c r="S9" s="125"/>
      <c r="T9" s="125"/>
      <c r="U9" s="114"/>
      <c r="V9" s="114"/>
    </row>
    <row r="10" spans="1:22" ht="12.75" customHeight="1" thickBot="1" x14ac:dyDescent="0.25">
      <c r="A10" s="132"/>
      <c r="B10" s="120"/>
      <c r="C10" s="120"/>
      <c r="D10" s="3" t="s">
        <v>2</v>
      </c>
      <c r="E10" s="3" t="s">
        <v>2</v>
      </c>
      <c r="F10" s="3" t="s">
        <v>4</v>
      </c>
      <c r="G10" s="13" t="s">
        <v>2</v>
      </c>
      <c r="H10" s="3" t="s">
        <v>61</v>
      </c>
      <c r="I10" s="3"/>
      <c r="J10" s="3" t="s">
        <v>5</v>
      </c>
      <c r="K10" s="3" t="s">
        <v>5</v>
      </c>
      <c r="L10" s="3"/>
      <c r="M10" s="3" t="s">
        <v>2</v>
      </c>
      <c r="N10" s="3" t="s">
        <v>9</v>
      </c>
      <c r="O10" s="3"/>
      <c r="P10" s="3" t="s">
        <v>9</v>
      </c>
      <c r="Q10" s="3"/>
      <c r="R10" s="13"/>
      <c r="S10" s="3"/>
      <c r="T10" s="3"/>
      <c r="U10" s="4"/>
      <c r="V10" s="4"/>
    </row>
    <row r="11" spans="1:22" ht="12.75" customHeight="1" x14ac:dyDescent="0.2">
      <c r="A11" s="9"/>
      <c r="B11" s="5"/>
      <c r="C11" s="6"/>
      <c r="D11" s="7"/>
      <c r="E11" s="7"/>
      <c r="F11" s="1"/>
      <c r="G11" s="10"/>
      <c r="H11" s="9"/>
      <c r="I11" s="1"/>
      <c r="J11" s="1"/>
      <c r="K11" s="9"/>
      <c r="L11" s="1"/>
      <c r="M11" s="1"/>
      <c r="N11" s="1"/>
      <c r="O11" s="9"/>
      <c r="P11" s="1"/>
      <c r="Q11" s="9"/>
      <c r="R11" s="11"/>
      <c r="S11" s="1"/>
      <c r="T11" s="8"/>
      <c r="U11" s="2"/>
      <c r="V11" s="2"/>
    </row>
    <row r="12" spans="1:22" ht="12.75" customHeight="1" x14ac:dyDescent="0.2">
      <c r="A12" s="9" t="s">
        <v>28</v>
      </c>
      <c r="B12" s="5" t="s">
        <v>42</v>
      </c>
      <c r="C12" s="6" t="s">
        <v>48</v>
      </c>
      <c r="D12" s="7" t="s">
        <v>40</v>
      </c>
      <c r="E12" s="7">
        <v>87.49</v>
      </c>
      <c r="F12" s="1"/>
      <c r="G12" s="12"/>
      <c r="H12" s="9">
        <f>ROUNDUP((22164.77-22077.28)/100,0)</f>
        <v>1</v>
      </c>
      <c r="I12" s="1"/>
      <c r="J12" s="1"/>
      <c r="K12" s="9"/>
      <c r="L12" s="1"/>
      <c r="M12" s="8">
        <f>E12</f>
        <v>87.49</v>
      </c>
      <c r="N12" s="1">
        <v>1</v>
      </c>
      <c r="O12" s="9"/>
      <c r="P12" s="1">
        <v>2</v>
      </c>
      <c r="Q12" s="9"/>
      <c r="R12" s="11"/>
      <c r="S12" s="1"/>
      <c r="T12" s="8"/>
      <c r="U12" s="2"/>
      <c r="V12" s="2"/>
    </row>
    <row r="13" spans="1:22" ht="12.75" customHeight="1" x14ac:dyDescent="0.2">
      <c r="A13" s="9" t="s">
        <v>29</v>
      </c>
      <c r="B13" s="5" t="s">
        <v>43</v>
      </c>
      <c r="C13" s="6" t="s">
        <v>49</v>
      </c>
      <c r="D13" s="7" t="s">
        <v>41</v>
      </c>
      <c r="E13" s="7">
        <v>87.49</v>
      </c>
      <c r="F13" s="1"/>
      <c r="G13" s="12"/>
      <c r="H13" s="9">
        <f>ROUNDUP((22164.79-22077.3)/100, 0)</f>
        <v>1</v>
      </c>
      <c r="I13" s="1"/>
      <c r="J13" s="1"/>
      <c r="K13" s="9"/>
      <c r="L13" s="1"/>
      <c r="M13" s="8">
        <f>E13</f>
        <v>87.49</v>
      </c>
      <c r="N13" s="1">
        <v>1</v>
      </c>
      <c r="O13" s="9"/>
      <c r="P13" s="1">
        <v>2</v>
      </c>
      <c r="Q13" s="9"/>
      <c r="R13" s="11"/>
      <c r="S13" s="1"/>
      <c r="T13" s="8"/>
      <c r="U13" s="2"/>
      <c r="V13" s="2"/>
    </row>
    <row r="14" spans="1:22" ht="12.75" customHeight="1" x14ac:dyDescent="0.2">
      <c r="A14" s="9"/>
      <c r="B14" s="5"/>
      <c r="C14" s="6"/>
      <c r="D14" s="7"/>
      <c r="E14" s="7"/>
      <c r="F14" s="1"/>
      <c r="G14" s="12"/>
      <c r="H14" s="9"/>
      <c r="I14" s="1"/>
      <c r="J14" s="1"/>
      <c r="K14" s="9"/>
      <c r="L14" s="1"/>
      <c r="M14" s="1"/>
      <c r="N14" s="1"/>
      <c r="O14" s="9"/>
      <c r="P14" s="1"/>
      <c r="Q14" s="9"/>
      <c r="R14" s="11"/>
      <c r="S14" s="1"/>
      <c r="T14" s="8"/>
      <c r="U14" s="2"/>
      <c r="V14" s="2"/>
    </row>
    <row r="15" spans="1:22" ht="12.75" customHeight="1" x14ac:dyDescent="0.2">
      <c r="A15" s="9" t="s">
        <v>30</v>
      </c>
      <c r="B15" s="5" t="s">
        <v>46</v>
      </c>
      <c r="C15" s="6" t="s">
        <v>44</v>
      </c>
      <c r="D15" s="7" t="s">
        <v>40</v>
      </c>
      <c r="E15" s="7">
        <v>87.5</v>
      </c>
      <c r="F15" s="1"/>
      <c r="G15" s="12"/>
      <c r="H15" s="9">
        <f>ROUNDUP((22339.93-22252.43)/100, 0)</f>
        <v>1</v>
      </c>
      <c r="I15" s="1"/>
      <c r="J15" s="1"/>
      <c r="K15" s="9"/>
      <c r="L15" s="1"/>
      <c r="M15" s="1">
        <f>E15</f>
        <v>87.5</v>
      </c>
      <c r="N15" s="1">
        <v>1</v>
      </c>
      <c r="O15" s="9"/>
      <c r="P15" s="1">
        <v>2</v>
      </c>
      <c r="Q15" s="9"/>
      <c r="R15" s="11"/>
      <c r="S15" s="1"/>
      <c r="T15" s="8"/>
      <c r="U15" s="2"/>
      <c r="V15" s="2"/>
    </row>
    <row r="16" spans="1:22" ht="12.75" customHeight="1" x14ac:dyDescent="0.2">
      <c r="A16" s="9" t="s">
        <v>31</v>
      </c>
      <c r="B16" s="5" t="s">
        <v>47</v>
      </c>
      <c r="C16" s="6" t="s">
        <v>45</v>
      </c>
      <c r="D16" s="7" t="s">
        <v>41</v>
      </c>
      <c r="E16" s="7">
        <v>87.5</v>
      </c>
      <c r="F16" s="1"/>
      <c r="G16" s="12"/>
      <c r="H16" s="9">
        <f>ROUNDUP((22339.92-22252.43)/100, 0)</f>
        <v>1</v>
      </c>
      <c r="I16" s="1"/>
      <c r="J16" s="1"/>
      <c r="K16" s="9"/>
      <c r="L16" s="1"/>
      <c r="M16" s="1">
        <f>E16</f>
        <v>87.5</v>
      </c>
      <c r="N16" s="1">
        <v>1</v>
      </c>
      <c r="O16" s="9"/>
      <c r="P16" s="1">
        <v>2</v>
      </c>
      <c r="Q16" s="9"/>
      <c r="R16" s="11"/>
      <c r="S16" s="1"/>
      <c r="T16" s="8"/>
      <c r="U16" s="2"/>
      <c r="V16" s="2"/>
    </row>
    <row r="17" spans="1:23" x14ac:dyDescent="0.2">
      <c r="A17" s="21"/>
      <c r="B17" s="17"/>
      <c r="C17" s="18"/>
      <c r="D17" s="21"/>
      <c r="E17" s="21"/>
      <c r="F17" s="18"/>
      <c r="G17" s="24"/>
      <c r="H17" s="20"/>
      <c r="I17" s="20"/>
      <c r="J17" s="21"/>
      <c r="K17" s="21"/>
      <c r="L17" s="21"/>
      <c r="M17" s="18"/>
      <c r="N17" s="21"/>
      <c r="O17" s="21"/>
      <c r="P17" s="18"/>
      <c r="Q17" s="21"/>
      <c r="R17" s="22"/>
      <c r="S17" s="21"/>
      <c r="T17" s="21"/>
      <c r="U17" s="19"/>
      <c r="V17" s="19"/>
    </row>
    <row r="18" spans="1:23" x14ac:dyDescent="0.2">
      <c r="A18" s="43" t="s">
        <v>32</v>
      </c>
      <c r="B18" s="5" t="s">
        <v>42</v>
      </c>
      <c r="C18" s="23" t="s">
        <v>44</v>
      </c>
      <c r="D18" s="7" t="s">
        <v>40</v>
      </c>
      <c r="E18" s="7">
        <f>22339.93-22077.28</f>
        <v>262.65000000000146</v>
      </c>
      <c r="F18" s="21"/>
      <c r="G18" s="10">
        <f>ROUNDUP(E18,0)</f>
        <v>263</v>
      </c>
      <c r="H18" s="21"/>
      <c r="I18" s="18"/>
      <c r="J18" s="21"/>
      <c r="K18" s="21"/>
      <c r="L18" s="21"/>
      <c r="M18" s="18"/>
      <c r="N18" s="21"/>
      <c r="O18" s="21"/>
      <c r="P18" s="21"/>
      <c r="Q18" s="21"/>
      <c r="R18" s="22"/>
      <c r="S18" s="18"/>
      <c r="T18" s="21"/>
      <c r="U18" s="19"/>
      <c r="V18" s="19"/>
    </row>
    <row r="19" spans="1:23" x14ac:dyDescent="0.2">
      <c r="A19" s="43" t="s">
        <v>33</v>
      </c>
      <c r="B19" s="5" t="s">
        <v>43</v>
      </c>
      <c r="C19" s="23" t="s">
        <v>45</v>
      </c>
      <c r="D19" s="7" t="s">
        <v>41</v>
      </c>
      <c r="E19" s="7">
        <f>22339.92-22077.3</f>
        <v>262.61999999999898</v>
      </c>
      <c r="F19" s="21"/>
      <c r="G19" s="10">
        <f>ROUNDUP(E19,0)</f>
        <v>263</v>
      </c>
      <c r="H19" s="44"/>
      <c r="I19" s="18"/>
      <c r="J19" s="21"/>
      <c r="K19" s="21"/>
      <c r="L19" s="21"/>
      <c r="M19" s="18"/>
      <c r="N19" s="21"/>
      <c r="O19" s="21"/>
      <c r="P19" s="21"/>
      <c r="Q19" s="21"/>
      <c r="R19" s="22"/>
      <c r="S19" s="18"/>
      <c r="T19" s="21"/>
      <c r="U19" s="19"/>
      <c r="V19" s="19"/>
    </row>
    <row r="20" spans="1:23" ht="12.75" customHeight="1" x14ac:dyDescent="0.2">
      <c r="A20" s="9"/>
      <c r="B20" s="5"/>
      <c r="C20" s="6"/>
      <c r="D20" s="7"/>
      <c r="E20" s="7"/>
      <c r="F20" s="9"/>
      <c r="G20" s="10"/>
      <c r="H20" s="10"/>
      <c r="I20" s="11"/>
      <c r="J20" s="9"/>
      <c r="K20" s="9"/>
      <c r="L20" s="11"/>
      <c r="M20" s="1"/>
      <c r="N20" s="9"/>
      <c r="O20" s="9"/>
      <c r="P20" s="1"/>
      <c r="Q20" s="9"/>
      <c r="R20" s="11"/>
      <c r="S20" s="9"/>
      <c r="T20" s="1"/>
      <c r="U20" s="2"/>
      <c r="V20" s="2"/>
    </row>
    <row r="21" spans="1:23" ht="12.75" customHeight="1" x14ac:dyDescent="0.2">
      <c r="A21" s="9" t="s">
        <v>34</v>
      </c>
      <c r="B21" s="5" t="s">
        <v>54</v>
      </c>
      <c r="C21" s="6" t="s">
        <v>55</v>
      </c>
      <c r="D21" s="7" t="s">
        <v>41</v>
      </c>
      <c r="E21" s="7"/>
      <c r="F21" s="7">
        <f>148.34</f>
        <v>148.34</v>
      </c>
      <c r="G21" s="10"/>
      <c r="H21" s="10"/>
      <c r="I21" s="11"/>
      <c r="J21" s="8">
        <f>ROUND((F21*1.118*3)/27,2)</f>
        <v>18.43</v>
      </c>
      <c r="K21" s="8"/>
      <c r="L21" s="11"/>
      <c r="M21" s="1"/>
      <c r="N21" s="9"/>
      <c r="O21" s="9"/>
      <c r="P21" s="1"/>
      <c r="Q21" s="9"/>
      <c r="R21" s="11"/>
      <c r="S21" s="9"/>
      <c r="T21" s="1"/>
      <c r="U21" s="2"/>
      <c r="V21" s="2"/>
    </row>
    <row r="22" spans="1:23" ht="12.75" customHeight="1" x14ac:dyDescent="0.2">
      <c r="A22" s="9" t="s">
        <v>35</v>
      </c>
      <c r="B22" s="5" t="s">
        <v>59</v>
      </c>
      <c r="C22" s="6" t="s">
        <v>55</v>
      </c>
      <c r="D22" s="7" t="s">
        <v>41</v>
      </c>
      <c r="E22" s="7">
        <v>17.71</v>
      </c>
      <c r="F22" s="7"/>
      <c r="G22" s="10"/>
      <c r="H22" s="10"/>
      <c r="I22" s="11"/>
      <c r="J22" s="8"/>
      <c r="K22" s="8">
        <f>ROUND((E22+1*6.32)*3*2/27,2)</f>
        <v>5.34</v>
      </c>
      <c r="L22" s="11"/>
      <c r="M22" s="1"/>
      <c r="N22" s="9"/>
      <c r="O22" s="9"/>
      <c r="P22" s="1"/>
      <c r="Q22" s="9"/>
      <c r="R22" s="11"/>
      <c r="S22" s="9"/>
      <c r="T22" s="1"/>
      <c r="U22" s="2"/>
      <c r="V22" s="2"/>
    </row>
    <row r="23" spans="1:23" ht="12.75" customHeight="1" x14ac:dyDescent="0.2">
      <c r="A23" s="9" t="s">
        <v>36</v>
      </c>
      <c r="B23" s="5" t="s">
        <v>58</v>
      </c>
      <c r="C23" s="6" t="s">
        <v>55</v>
      </c>
      <c r="D23" s="7" t="s">
        <v>40</v>
      </c>
      <c r="E23" s="7"/>
      <c r="F23" s="7">
        <v>174.80099999999999</v>
      </c>
      <c r="G23" s="11"/>
      <c r="H23" s="9"/>
      <c r="I23" s="1"/>
      <c r="J23" s="8">
        <f>ROUND((F23*1.118*3)/27,2)</f>
        <v>21.71</v>
      </c>
      <c r="K23" s="8"/>
      <c r="L23" s="1"/>
      <c r="M23" s="1"/>
      <c r="N23" s="1"/>
      <c r="O23" s="9"/>
      <c r="P23" s="1"/>
      <c r="Q23" s="9"/>
      <c r="R23" s="11"/>
      <c r="S23" s="1"/>
      <c r="T23" s="1"/>
      <c r="U23" s="2"/>
      <c r="V23" s="2"/>
    </row>
    <row r="24" spans="1:23" ht="12.75" customHeight="1" x14ac:dyDescent="0.2">
      <c r="A24" s="9" t="s">
        <v>37</v>
      </c>
      <c r="B24" s="5" t="s">
        <v>59</v>
      </c>
      <c r="C24" s="6" t="s">
        <v>55</v>
      </c>
      <c r="D24" s="7" t="s">
        <v>40</v>
      </c>
      <c r="E24" s="7">
        <v>17.39</v>
      </c>
      <c r="F24" s="7"/>
      <c r="G24" s="10"/>
      <c r="H24" s="10"/>
      <c r="I24" s="11"/>
      <c r="J24" s="8"/>
      <c r="K24" s="8">
        <f>ROUND((E24+1*6.32)*3*2/27,2)</f>
        <v>5.27</v>
      </c>
      <c r="L24" s="1"/>
      <c r="M24" s="1"/>
      <c r="N24" s="9"/>
      <c r="O24" s="9"/>
      <c r="P24" s="1"/>
      <c r="Q24" s="9"/>
      <c r="R24" s="11"/>
      <c r="S24" s="9"/>
      <c r="T24" s="1"/>
      <c r="U24" s="2"/>
      <c r="V24" s="2"/>
    </row>
    <row r="25" spans="1:23" ht="12.75" customHeight="1" x14ac:dyDescent="0.2">
      <c r="A25" s="9"/>
      <c r="B25" s="5"/>
      <c r="C25" s="6"/>
      <c r="D25" s="7"/>
      <c r="E25" s="7"/>
      <c r="F25" s="7"/>
      <c r="G25" s="10"/>
      <c r="H25" s="9"/>
      <c r="I25" s="1"/>
      <c r="J25" s="8"/>
      <c r="K25" s="8"/>
      <c r="L25" s="1"/>
      <c r="M25" s="1"/>
      <c r="N25" s="11"/>
      <c r="O25" s="9"/>
      <c r="P25" s="1"/>
      <c r="Q25" s="9"/>
      <c r="R25" s="11"/>
      <c r="S25" s="1"/>
      <c r="T25" s="1"/>
      <c r="U25" s="2"/>
      <c r="V25" s="2"/>
    </row>
    <row r="26" spans="1:23" ht="12.75" customHeight="1" x14ac:dyDescent="0.2">
      <c r="A26" s="9" t="s">
        <v>50</v>
      </c>
      <c r="B26" s="5" t="s">
        <v>56</v>
      </c>
      <c r="C26" s="6" t="s">
        <v>57</v>
      </c>
      <c r="D26" s="7" t="s">
        <v>41</v>
      </c>
      <c r="E26" s="7"/>
      <c r="F26" s="7">
        <v>154.4</v>
      </c>
      <c r="G26" s="10"/>
      <c r="H26" s="10"/>
      <c r="I26" s="11"/>
      <c r="J26" s="8">
        <f>ROUND((F26*1.118*3)/27,2)</f>
        <v>19.18</v>
      </c>
      <c r="K26" s="8"/>
      <c r="L26" s="11"/>
      <c r="M26" s="11"/>
      <c r="N26" s="10"/>
      <c r="O26" s="9"/>
      <c r="P26" s="1"/>
      <c r="Q26" s="9"/>
      <c r="R26" s="11"/>
      <c r="S26" s="9"/>
      <c r="T26" s="1"/>
      <c r="U26" s="2"/>
      <c r="V26" s="2"/>
    </row>
    <row r="27" spans="1:23" ht="12.75" customHeight="1" x14ac:dyDescent="0.2">
      <c r="A27" s="9" t="s">
        <v>51</v>
      </c>
      <c r="B27" s="5" t="s">
        <v>56</v>
      </c>
      <c r="C27" s="6" t="s">
        <v>60</v>
      </c>
      <c r="D27" s="7" t="s">
        <v>41</v>
      </c>
      <c r="E27" s="7">
        <v>17.46</v>
      </c>
      <c r="F27" s="7"/>
      <c r="G27" s="10"/>
      <c r="H27" s="10"/>
      <c r="I27" s="11"/>
      <c r="J27" s="8"/>
      <c r="K27" s="8">
        <f>ROUND((E27+1*6.32)*3*2/27,2)</f>
        <v>5.28</v>
      </c>
      <c r="L27" s="11"/>
      <c r="M27" s="11"/>
      <c r="N27" s="10"/>
      <c r="O27" s="9"/>
      <c r="P27" s="1"/>
      <c r="Q27" s="9"/>
      <c r="R27" s="11"/>
      <c r="S27" s="9"/>
      <c r="T27" s="1"/>
      <c r="U27" s="2"/>
      <c r="V27" s="2"/>
    </row>
    <row r="28" spans="1:23" ht="12.75" customHeight="1" x14ac:dyDescent="0.2">
      <c r="A28" s="9" t="s">
        <v>52</v>
      </c>
      <c r="B28" s="5" t="s">
        <v>56</v>
      </c>
      <c r="C28" s="6" t="s">
        <v>57</v>
      </c>
      <c r="D28" s="7" t="s">
        <v>40</v>
      </c>
      <c r="E28" s="7"/>
      <c r="F28" s="7">
        <v>128.036</v>
      </c>
      <c r="G28" s="10"/>
      <c r="H28" s="10"/>
      <c r="I28" s="11"/>
      <c r="J28" s="8">
        <f>ROUND((F28*1.118*3)/27,2)</f>
        <v>15.9</v>
      </c>
      <c r="K28" s="8"/>
      <c r="L28" s="11"/>
      <c r="M28" s="11"/>
      <c r="N28" s="10"/>
      <c r="O28" s="9"/>
      <c r="P28" s="1"/>
      <c r="Q28" s="9"/>
      <c r="R28" s="11"/>
      <c r="S28" s="9"/>
      <c r="T28" s="1"/>
      <c r="U28" s="2"/>
      <c r="V28" s="2"/>
    </row>
    <row r="29" spans="1:23" s="14" customFormat="1" ht="12.75" customHeight="1" x14ac:dyDescent="0.2">
      <c r="A29" s="9" t="s">
        <v>53</v>
      </c>
      <c r="B29" s="5" t="s">
        <v>56</v>
      </c>
      <c r="C29" s="15" t="s">
        <v>60</v>
      </c>
      <c r="D29" s="12" t="s">
        <v>40</v>
      </c>
      <c r="E29" s="12">
        <v>17.63</v>
      </c>
      <c r="F29" s="12"/>
      <c r="G29" s="10"/>
      <c r="H29" s="10"/>
      <c r="I29" s="11"/>
      <c r="J29" s="8"/>
      <c r="K29" s="45">
        <f>ROUND((E29+1*6.32)*3*2/27,2)</f>
        <v>5.32</v>
      </c>
      <c r="L29" s="11"/>
      <c r="M29" s="11"/>
      <c r="N29" s="10"/>
      <c r="O29" s="10"/>
      <c r="P29" s="11"/>
      <c r="Q29" s="10"/>
      <c r="R29" s="10"/>
      <c r="S29" s="10"/>
      <c r="T29" s="11"/>
      <c r="U29" s="16"/>
      <c r="V29" s="16"/>
    </row>
    <row r="30" spans="1:23" ht="12.75" customHeight="1" x14ac:dyDescent="0.2">
      <c r="A30" s="135" t="s">
        <v>7</v>
      </c>
      <c r="B30" s="136"/>
      <c r="C30" s="136"/>
      <c r="D30" s="136"/>
      <c r="E30" s="136"/>
      <c r="F30" s="137"/>
      <c r="G30" s="121">
        <f>SUM(G11:G29)</f>
        <v>526</v>
      </c>
      <c r="H30" s="121">
        <f>SUM(H11:H29)</f>
        <v>4</v>
      </c>
      <c r="I30" s="121"/>
      <c r="J30" s="121">
        <f>ROUNDUP(SUM(J11:J29),0)</f>
        <v>76</v>
      </c>
      <c r="K30" s="121">
        <f>ROUNDUP(SUM(K11:K29),0)</f>
        <v>22</v>
      </c>
      <c r="L30" s="121"/>
      <c r="M30" s="123">
        <f>SUM(M11:M29)</f>
        <v>349.98</v>
      </c>
      <c r="N30" s="123">
        <f>SUM(N11:N29)</f>
        <v>4</v>
      </c>
      <c r="O30" s="123"/>
      <c r="P30" s="123">
        <f>SUM(P11:P29)</f>
        <v>8</v>
      </c>
      <c r="Q30" s="121"/>
      <c r="R30" s="121"/>
      <c r="S30" s="121"/>
      <c r="T30" s="121"/>
      <c r="U30" s="115"/>
      <c r="V30" s="115"/>
      <c r="W30" s="25"/>
    </row>
    <row r="31" spans="1:23" ht="12" customHeight="1" x14ac:dyDescent="0.2">
      <c r="A31" s="138"/>
      <c r="B31" s="139"/>
      <c r="C31" s="139"/>
      <c r="D31" s="139"/>
      <c r="E31" s="139"/>
      <c r="F31" s="140"/>
      <c r="G31" s="122"/>
      <c r="H31" s="122"/>
      <c r="I31" s="122"/>
      <c r="J31" s="122"/>
      <c r="K31" s="122"/>
      <c r="L31" s="122"/>
      <c r="M31" s="124"/>
      <c r="N31" s="124"/>
      <c r="O31" s="124"/>
      <c r="P31" s="124"/>
      <c r="Q31" s="122"/>
      <c r="R31" s="122"/>
      <c r="S31" s="122"/>
      <c r="T31" s="122"/>
      <c r="U31" s="116"/>
      <c r="V31" s="116"/>
      <c r="W31" s="26"/>
    </row>
  </sheetData>
  <mergeCells count="41">
    <mergeCell ref="A1:A4"/>
    <mergeCell ref="A7:A10"/>
    <mergeCell ref="J1:K1"/>
    <mergeCell ref="A30:F31"/>
    <mergeCell ref="R2:R9"/>
    <mergeCell ref="D1:D9"/>
    <mergeCell ref="J2:J9"/>
    <mergeCell ref="G2:G9"/>
    <mergeCell ref="M1:N1"/>
    <mergeCell ref="I2:I9"/>
    <mergeCell ref="H30:H31"/>
    <mergeCell ref="I30:I31"/>
    <mergeCell ref="L30:L31"/>
    <mergeCell ref="E1:E9"/>
    <mergeCell ref="N30:N31"/>
    <mergeCell ref="G30:G31"/>
    <mergeCell ref="T2:T9"/>
    <mergeCell ref="U2:U9"/>
    <mergeCell ref="P2:P9"/>
    <mergeCell ref="K2:K9"/>
    <mergeCell ref="Q2:Q9"/>
    <mergeCell ref="S2:S9"/>
    <mergeCell ref="L2:L9"/>
    <mergeCell ref="M2:M9"/>
    <mergeCell ref="N2:N9"/>
    <mergeCell ref="F1:F9"/>
    <mergeCell ref="V2:V9"/>
    <mergeCell ref="V30:V31"/>
    <mergeCell ref="B1:C10"/>
    <mergeCell ref="U30:U31"/>
    <mergeCell ref="J30:J31"/>
    <mergeCell ref="M30:M31"/>
    <mergeCell ref="T30:T31"/>
    <mergeCell ref="P30:P31"/>
    <mergeCell ref="K30:K31"/>
    <mergeCell ref="Q30:Q31"/>
    <mergeCell ref="S30:S31"/>
    <mergeCell ref="O30:O31"/>
    <mergeCell ref="R30:R31"/>
    <mergeCell ref="O2:O9"/>
    <mergeCell ref="H2:H9"/>
  </mergeCells>
  <phoneticPr fontId="0" type="noConversion"/>
  <pageMargins left="0.75" right="0.75" top="1" bottom="1" header="0.5" footer="0.5"/>
  <pageSetup paperSize="17" scale="6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DF802-E636-4060-A5FC-A7648332EB61}">
  <sheetPr>
    <pageSetUpPr fitToPage="1"/>
  </sheetPr>
  <dimension ref="A1:Q91"/>
  <sheetViews>
    <sheetView tabSelected="1" zoomScale="80" zoomScaleNormal="80" workbookViewId="0">
      <selection activeCell="E62" sqref="E62"/>
    </sheetView>
  </sheetViews>
  <sheetFormatPr defaultRowHeight="12.75" x14ac:dyDescent="0.2"/>
  <cols>
    <col min="1" max="1" width="13.85546875" customWidth="1"/>
    <col min="2" max="7" width="13.7109375" customWidth="1"/>
    <col min="8" max="9" width="13.7109375" style="14" customWidth="1"/>
    <col min="11" max="11" width="18.85546875" style="69" customWidth="1"/>
    <col min="12" max="12" width="24.85546875" style="69" customWidth="1"/>
    <col min="16" max="16" width="31.7109375" customWidth="1"/>
  </cols>
  <sheetData>
    <row r="1" spans="1:16" ht="18.75" thickBot="1" x14ac:dyDescent="0.3">
      <c r="B1" s="142" t="s">
        <v>63</v>
      </c>
      <c r="C1" s="143"/>
      <c r="D1" s="143"/>
      <c r="E1" s="143"/>
      <c r="F1" s="143"/>
      <c r="G1" s="143"/>
      <c r="H1" s="143"/>
      <c r="I1" s="144"/>
    </row>
    <row r="2" spans="1:16" ht="25.5" x14ac:dyDescent="0.2">
      <c r="B2" s="48" t="s">
        <v>14</v>
      </c>
      <c r="C2" s="49" t="s">
        <v>13</v>
      </c>
      <c r="D2" s="47" t="s">
        <v>12</v>
      </c>
      <c r="E2" s="47" t="s">
        <v>11</v>
      </c>
      <c r="F2" s="46" t="s">
        <v>15</v>
      </c>
      <c r="G2" s="47" t="s">
        <v>16</v>
      </c>
      <c r="H2" s="81" t="s">
        <v>17</v>
      </c>
      <c r="I2" s="82" t="s">
        <v>18</v>
      </c>
      <c r="J2" s="60"/>
      <c r="K2" s="73" t="s">
        <v>67</v>
      </c>
      <c r="L2" s="73" t="s">
        <v>66</v>
      </c>
    </row>
    <row r="3" spans="1:16" x14ac:dyDescent="0.2">
      <c r="A3" s="88">
        <v>22.36</v>
      </c>
      <c r="B3" s="51">
        <v>118443.51</v>
      </c>
      <c r="C3" s="52"/>
      <c r="D3" s="53">
        <v>41.078099999999999</v>
      </c>
      <c r="E3" s="57"/>
      <c r="F3" s="53">
        <f>12.3137+12.3195</f>
        <v>24.633200000000002</v>
      </c>
      <c r="G3" s="57"/>
      <c r="H3" s="53">
        <v>33.416400000000003</v>
      </c>
      <c r="I3" s="63"/>
      <c r="J3" s="60"/>
      <c r="K3" s="74">
        <v>0</v>
      </c>
      <c r="L3" s="68"/>
    </row>
    <row r="4" spans="1:16" s="14" customFormat="1" x14ac:dyDescent="0.2">
      <c r="B4" s="62"/>
      <c r="C4" s="50">
        <f>B5-B3</f>
        <v>6.4900000000052387</v>
      </c>
      <c r="D4" s="50"/>
      <c r="E4" s="57">
        <f>ROUNDUP(((D5+D3)/2)*C4/27,0)</f>
        <v>10</v>
      </c>
      <c r="F4" s="50"/>
      <c r="G4" s="57">
        <f>ROUNDUP((F5+F3)/2*C4/27,0)</f>
        <v>6</v>
      </c>
      <c r="H4" s="50"/>
      <c r="I4" s="63">
        <f t="shared" ref="I4" si="0">ROUNDUP((H5+H3)/2*C4/9,0)</f>
        <v>25</v>
      </c>
      <c r="J4" s="64"/>
      <c r="K4" s="75"/>
      <c r="L4" s="76">
        <f>ROUNDUP((K5+K3)/2*C4/9,0)</f>
        <v>0</v>
      </c>
    </row>
    <row r="5" spans="1:16" s="14" customFormat="1" x14ac:dyDescent="0.2">
      <c r="B5" s="62">
        <v>118450</v>
      </c>
      <c r="C5" s="50"/>
      <c r="D5" s="50">
        <v>41.133499999999998</v>
      </c>
      <c r="E5" s="57"/>
      <c r="F5" s="50">
        <f>12.3621+10.6212</f>
        <v>22.9833</v>
      </c>
      <c r="G5" s="57"/>
      <c r="H5" s="53">
        <f>13.1872+21.1102</f>
        <v>34.297399999999996</v>
      </c>
      <c r="I5" s="63"/>
      <c r="J5" s="64"/>
      <c r="K5" s="75"/>
      <c r="L5" s="76"/>
    </row>
    <row r="6" spans="1:16" s="14" customFormat="1" x14ac:dyDescent="0.2">
      <c r="B6" s="62"/>
      <c r="C6" s="50">
        <f>B9-B5</f>
        <v>50</v>
      </c>
      <c r="D6" s="50"/>
      <c r="E6" s="57">
        <f>ROUNDUP((D7+D5)/2*C6/27,0)</f>
        <v>89</v>
      </c>
      <c r="F6" s="50"/>
      <c r="G6" s="57">
        <f>ROUNDUP((F7+F5)/2*C6/27,0)</f>
        <v>22</v>
      </c>
      <c r="H6" s="50"/>
      <c r="I6" s="63">
        <f>ROUNDUP((H7+H5)/2*C6/9,0)</f>
        <v>96</v>
      </c>
      <c r="J6" s="64"/>
      <c r="K6" s="75"/>
      <c r="L6" s="76">
        <f>ROUNDUP((K9+K5)/2*C6/9,0)</f>
        <v>0</v>
      </c>
    </row>
    <row r="7" spans="1:16" x14ac:dyDescent="0.2">
      <c r="B7" s="152">
        <v>118462.03</v>
      </c>
      <c r="C7" s="50"/>
      <c r="D7" s="148">
        <v>54.877299999999998</v>
      </c>
      <c r="E7" s="57"/>
      <c r="F7" s="50">
        <v>0</v>
      </c>
      <c r="G7" s="57"/>
      <c r="H7" s="53">
        <v>0</v>
      </c>
      <c r="I7" s="63"/>
    </row>
    <row r="8" spans="1:16" x14ac:dyDescent="0.2">
      <c r="B8" s="62"/>
      <c r="C8" s="50">
        <f>B9-B7</f>
        <v>37.970000000001164</v>
      </c>
      <c r="D8" s="50"/>
      <c r="E8" s="57">
        <f>ROUNDUP((D9+D7)/2*C8/27,0)</f>
        <v>73</v>
      </c>
      <c r="F8" s="50"/>
      <c r="G8" s="57">
        <f>ROUNDUP((F9+F7)/2*C8/27,0)</f>
        <v>23</v>
      </c>
      <c r="H8" s="50"/>
      <c r="I8" s="63">
        <f>ROUNDUP((H9+H7)/2*C8/9,0)</f>
        <v>73</v>
      </c>
    </row>
    <row r="9" spans="1:16" s="14" customFormat="1" x14ac:dyDescent="0.2">
      <c r="B9" s="62">
        <v>118500</v>
      </c>
      <c r="C9" s="50"/>
      <c r="D9" s="50">
        <v>47.996400000000001</v>
      </c>
      <c r="E9" s="57"/>
      <c r="F9" s="50">
        <f>14.406+17.7422</f>
        <v>32.148200000000003</v>
      </c>
      <c r="G9" s="57"/>
      <c r="H9" s="50">
        <f>13.4339+20.8931</f>
        <v>34.326999999999998</v>
      </c>
      <c r="I9" s="63"/>
      <c r="J9" s="64"/>
      <c r="K9" s="75"/>
      <c r="L9" s="76"/>
    </row>
    <row r="10" spans="1:16" s="14" customFormat="1" x14ac:dyDescent="0.2">
      <c r="B10" s="62"/>
      <c r="C10" s="50">
        <f t="shared" ref="C10" si="1">B11-B9</f>
        <v>50</v>
      </c>
      <c r="D10" s="50"/>
      <c r="E10" s="57">
        <f>ROUNDUP((D11+D9)/2*C10/27,0)</f>
        <v>105</v>
      </c>
      <c r="F10" s="50"/>
      <c r="G10" s="57">
        <f>ROUNDUP((F11+F9)/2*C10/27,0)</f>
        <v>64</v>
      </c>
      <c r="H10" s="50"/>
      <c r="I10" s="63">
        <f t="shared" ref="I10:I50" si="2">ROUNDUP((H11+H9)/2*C10/9,0)</f>
        <v>189</v>
      </c>
      <c r="J10" s="64"/>
      <c r="K10" s="75"/>
      <c r="L10" s="76">
        <f t="shared" ref="L10:L12" si="3">ROUNDUP((K11+K9)/2*C10/9,0)</f>
        <v>0</v>
      </c>
      <c r="M10" s="59"/>
    </row>
    <row r="11" spans="1:16" s="14" customFormat="1" x14ac:dyDescent="0.2">
      <c r="A11" s="65"/>
      <c r="B11" s="62">
        <v>118550</v>
      </c>
      <c r="C11" s="50"/>
      <c r="D11" s="50">
        <f>61.3472+3.3566</f>
        <v>64.703800000000001</v>
      </c>
      <c r="E11" s="57"/>
      <c r="F11" s="50">
        <f>31.0646+5.2811</f>
        <v>36.345700000000001</v>
      </c>
      <c r="G11" s="57"/>
      <c r="H11" s="50">
        <v>33.610199999999999</v>
      </c>
      <c r="I11" s="63"/>
      <c r="J11" s="64"/>
      <c r="K11" s="75"/>
      <c r="L11" s="76"/>
    </row>
    <row r="12" spans="1:16" s="14" customFormat="1" x14ac:dyDescent="0.2">
      <c r="A12" s="65"/>
      <c r="B12" s="62"/>
      <c r="C12" s="50">
        <f>B13-B11</f>
        <v>29.600000000005821</v>
      </c>
      <c r="D12" s="50"/>
      <c r="E12" s="57">
        <f>ROUNDUP((D13+D11)/2*C12/27,0)</f>
        <v>60</v>
      </c>
      <c r="F12" s="50"/>
      <c r="G12" s="57">
        <f>ROUNDUP((F13+F11)/2*C12/27,0)</f>
        <v>33</v>
      </c>
      <c r="H12" s="50"/>
      <c r="I12" s="63">
        <f>ROUNDUP((H13+H11)/2*C12/9,0)</f>
        <v>110</v>
      </c>
      <c r="J12" s="64"/>
      <c r="K12" s="75"/>
      <c r="L12" s="76">
        <f t="shared" si="3"/>
        <v>0</v>
      </c>
      <c r="P12" s="65"/>
    </row>
    <row r="13" spans="1:16" s="14" customFormat="1" x14ac:dyDescent="0.2">
      <c r="B13" s="62">
        <v>118579.6</v>
      </c>
      <c r="C13" s="50"/>
      <c r="D13" s="50">
        <f>36.43+7.1025</f>
        <v>43.532499999999999</v>
      </c>
      <c r="E13" s="57"/>
      <c r="F13" s="50">
        <f>20.8075+2.3692</f>
        <v>23.1767</v>
      </c>
      <c r="G13" s="57"/>
      <c r="H13" s="50">
        <v>32.931399999999996</v>
      </c>
      <c r="I13" s="63"/>
      <c r="J13" s="64"/>
      <c r="K13" s="75"/>
      <c r="L13" s="76"/>
    </row>
    <row r="14" spans="1:16" s="14" customFormat="1" x14ac:dyDescent="0.2">
      <c r="B14" s="62"/>
      <c r="C14" s="50">
        <f>B15-B13</f>
        <v>15</v>
      </c>
      <c r="D14" s="50"/>
      <c r="E14" s="57">
        <f>ROUNDUP((D15+D13)/2*C14/27,0)</f>
        <v>22</v>
      </c>
      <c r="F14" s="50"/>
      <c r="G14" s="57">
        <f>ROUNDUP((F15+F13)/2*C14/27,0)</f>
        <v>19</v>
      </c>
      <c r="H14" s="50"/>
      <c r="I14" s="63">
        <f>ROUNDUP((H15+H13)/2*C14/9,0)</f>
        <v>56</v>
      </c>
      <c r="J14" s="64"/>
      <c r="K14" s="75"/>
      <c r="L14" s="76">
        <f t="shared" ref="L14:L16" si="4">ROUNDUP((K15+K13)/2*C14/9,0)</f>
        <v>0</v>
      </c>
      <c r="M14" s="59"/>
    </row>
    <row r="15" spans="1:16" s="14" customFormat="1" x14ac:dyDescent="0.2">
      <c r="A15" s="65"/>
      <c r="B15" s="62">
        <v>118594.6</v>
      </c>
      <c r="C15" s="50"/>
      <c r="D15" s="50">
        <v>35.061399999999999</v>
      </c>
      <c r="E15" s="57"/>
      <c r="F15" s="50">
        <f>21.2092+20.8634</f>
        <v>42.072599999999994</v>
      </c>
      <c r="G15" s="57"/>
      <c r="H15" s="50">
        <v>33.319200000000002</v>
      </c>
      <c r="I15" s="63"/>
      <c r="J15" s="64"/>
      <c r="K15" s="75"/>
      <c r="L15" s="76"/>
      <c r="P15" s="65"/>
    </row>
    <row r="16" spans="1:16" s="14" customFormat="1" ht="13.5" thickBot="1" x14ac:dyDescent="0.25">
      <c r="A16" s="65"/>
      <c r="B16" s="94"/>
      <c r="C16" s="95"/>
      <c r="D16" s="149"/>
      <c r="E16" s="150"/>
      <c r="F16" s="149"/>
      <c r="G16" s="150"/>
      <c r="H16" s="95"/>
      <c r="I16" s="93"/>
      <c r="J16" s="64"/>
      <c r="K16" s="75"/>
      <c r="L16" s="76">
        <f t="shared" si="4"/>
        <v>0</v>
      </c>
      <c r="P16" s="65"/>
    </row>
    <row r="17" spans="1:17" s="14" customFormat="1" x14ac:dyDescent="0.2">
      <c r="B17" s="62">
        <v>118646.45</v>
      </c>
      <c r="C17" s="50"/>
      <c r="D17" s="50">
        <v>38.722499999999997</v>
      </c>
      <c r="E17" s="57"/>
      <c r="F17" s="50">
        <f>20.2733+21.2233</f>
        <v>41.496600000000001</v>
      </c>
      <c r="G17" s="57"/>
      <c r="H17" s="50">
        <v>24.9999</v>
      </c>
      <c r="I17" s="63"/>
      <c r="J17" s="64"/>
      <c r="K17" s="75"/>
      <c r="L17" s="76"/>
      <c r="P17" s="96" t="s">
        <v>19</v>
      </c>
      <c r="Q17" s="97">
        <f>ROUNDUP((I57+B91)*111/1000,0)</f>
        <v>142</v>
      </c>
    </row>
    <row r="18" spans="1:17" s="14" customFormat="1" x14ac:dyDescent="0.2">
      <c r="B18" s="62"/>
      <c r="C18" s="50">
        <f t="shared" ref="C18" si="5">B19-B17</f>
        <v>15</v>
      </c>
      <c r="D18" s="50"/>
      <c r="E18" s="57">
        <f>ROUNDUP((D19+D17)/2*C18/27,0)</f>
        <v>24</v>
      </c>
      <c r="F18" s="50"/>
      <c r="G18" s="57">
        <f>ROUNDUP((F19+F17)/2*C18/27,0)</f>
        <v>13</v>
      </c>
      <c r="H18" s="50"/>
      <c r="I18" s="63">
        <f t="shared" ref="I18" si="6">ROUNDUP((H19+H17)/2*C18/9,0)</f>
        <v>43</v>
      </c>
      <c r="J18" s="64"/>
      <c r="K18" s="75"/>
      <c r="L18" s="76">
        <f t="shared" ref="L18" si="7">ROUNDUP((K19+K17)/2*C18/9,0)</f>
        <v>0</v>
      </c>
      <c r="M18" s="59"/>
      <c r="P18" s="106" t="s">
        <v>20</v>
      </c>
      <c r="Q18" s="107">
        <f>ROUNDUP(I$57*0.05,0)</f>
        <v>64</v>
      </c>
    </row>
    <row r="19" spans="1:17" s="14" customFormat="1" x14ac:dyDescent="0.2">
      <c r="A19" s="65"/>
      <c r="B19" s="62">
        <v>118661.45</v>
      </c>
      <c r="C19" s="50"/>
      <c r="D19" s="50">
        <f>44.6757+0.0178+2.5362</f>
        <v>47.229700000000001</v>
      </c>
      <c r="E19" s="57"/>
      <c r="F19" s="50">
        <f>1.4881+1.1775+0.6841</f>
        <v>3.3496999999999999</v>
      </c>
      <c r="G19" s="57"/>
      <c r="H19" s="50">
        <v>26.289899999999999</v>
      </c>
      <c r="I19" s="63"/>
      <c r="J19" s="64"/>
      <c r="K19" s="75"/>
      <c r="L19" s="76"/>
      <c r="P19" s="108" t="s">
        <v>77</v>
      </c>
      <c r="Q19" s="107">
        <f>ROUNDUP(I$57*0.05,0)</f>
        <v>64</v>
      </c>
    </row>
    <row r="20" spans="1:17" s="14" customFormat="1" x14ac:dyDescent="0.2">
      <c r="A20" s="65"/>
      <c r="B20" s="62"/>
      <c r="C20" s="50">
        <f>B21-B19</f>
        <v>38.55000000000291</v>
      </c>
      <c r="D20" s="50"/>
      <c r="E20" s="57">
        <f>ROUNDUP((D21+D19)/2*C20/27,0)</f>
        <v>66</v>
      </c>
      <c r="F20" s="50"/>
      <c r="G20" s="57">
        <f>ROUNDUP((F21+F19)/2*C20/27,0)</f>
        <v>10</v>
      </c>
      <c r="H20" s="50"/>
      <c r="I20" s="63">
        <f>ROUNDUP((H21+H19)/2*C20/9,0)</f>
        <v>110</v>
      </c>
      <c r="J20" s="64"/>
      <c r="K20" s="75"/>
      <c r="L20" s="76">
        <f>ROUNDUP((K25+K19)/2*C20/9,0)</f>
        <v>0</v>
      </c>
      <c r="P20" s="99" t="s">
        <v>21</v>
      </c>
      <c r="Q20" s="100">
        <f>ROUNDUP(I57/7410,2)</f>
        <v>0.18000000000000002</v>
      </c>
    </row>
    <row r="21" spans="1:17" s="14" customFormat="1" x14ac:dyDescent="0.2">
      <c r="A21" s="65"/>
      <c r="B21" s="62">
        <v>118700</v>
      </c>
      <c r="C21" s="50"/>
      <c r="D21" s="50">
        <f>1.4657+43.0373</f>
        <v>44.503</v>
      </c>
      <c r="E21" s="57"/>
      <c r="F21" s="50">
        <f>0.4244+9.7233</f>
        <v>10.1477</v>
      </c>
      <c r="G21" s="57"/>
      <c r="H21" s="50">
        <v>25.0716</v>
      </c>
      <c r="I21" s="63"/>
      <c r="J21" s="64"/>
      <c r="K21" s="75"/>
      <c r="L21" s="76"/>
      <c r="P21" s="99" t="s">
        <v>22</v>
      </c>
      <c r="Q21" s="100">
        <f>ROUNDUP(I57/4840,2)</f>
        <v>0.27</v>
      </c>
    </row>
    <row r="22" spans="1:17" x14ac:dyDescent="0.2">
      <c r="B22" s="62"/>
      <c r="C22" s="50">
        <f>B23-B21</f>
        <v>16.889999999999418</v>
      </c>
      <c r="D22" s="50"/>
      <c r="E22" s="57">
        <f>ROUNDUP((D23+D21)/2*C22/27,0)</f>
        <v>29</v>
      </c>
      <c r="F22" s="50"/>
      <c r="G22" s="57">
        <f>ROUNDUP((F23+F21)/2*C22/27,0)</f>
        <v>7</v>
      </c>
      <c r="H22" s="50"/>
      <c r="I22" s="63">
        <f>ROUNDUP((H23+H21)/2*C22/9,0)</f>
        <v>41</v>
      </c>
      <c r="P22" s="61" t="s">
        <v>23</v>
      </c>
      <c r="Q22" s="98">
        <f>ROUNDUP(I57*0.0027,0)</f>
        <v>4</v>
      </c>
    </row>
    <row r="23" spans="1:17" x14ac:dyDescent="0.2">
      <c r="B23" s="152">
        <v>118716.89</v>
      </c>
      <c r="C23" s="50"/>
      <c r="D23" s="148">
        <v>47</v>
      </c>
      <c r="E23" s="57"/>
      <c r="F23" s="151">
        <v>10.010400000000001</v>
      </c>
      <c r="G23" s="57"/>
      <c r="H23" s="50">
        <v>18</v>
      </c>
      <c r="I23" s="63"/>
      <c r="P23" s="61"/>
      <c r="Q23" s="98"/>
    </row>
    <row r="24" spans="1:17" s="14" customFormat="1" x14ac:dyDescent="0.2">
      <c r="A24" s="65"/>
      <c r="B24" s="62"/>
      <c r="C24" s="50">
        <f>B25-B23</f>
        <v>33.110000000000582</v>
      </c>
      <c r="D24" s="50"/>
      <c r="E24" s="57">
        <f>ROUNDUP((D25+D23)/2*C24/27,0)</f>
        <v>56</v>
      </c>
      <c r="F24" s="151"/>
      <c r="G24" s="57">
        <f>ROUNDUP((F25+F23)/2*C24/27,0)</f>
        <v>13</v>
      </c>
      <c r="H24" s="50"/>
      <c r="I24" s="63">
        <f>ROUNDUP((H25+H23)/2*C24/9,0)</f>
        <v>71</v>
      </c>
      <c r="J24" s="64"/>
      <c r="K24" s="75"/>
      <c r="L24" s="76"/>
      <c r="P24" s="99"/>
      <c r="Q24" s="100"/>
    </row>
    <row r="25" spans="1:17" s="14" customFormat="1" x14ac:dyDescent="0.2">
      <c r="B25" s="62">
        <v>118750</v>
      </c>
      <c r="C25" s="50"/>
      <c r="D25" s="50">
        <v>44.290500000000002</v>
      </c>
      <c r="E25" s="57"/>
      <c r="F25" s="151">
        <f>6.388+3.631</f>
        <v>10.019</v>
      </c>
      <c r="G25" s="57"/>
      <c r="H25" s="50">
        <v>20.277100000000001</v>
      </c>
      <c r="I25" s="63"/>
      <c r="J25" s="64"/>
      <c r="K25" s="75"/>
      <c r="L25" s="76"/>
      <c r="P25" s="101"/>
      <c r="Q25" s="100"/>
    </row>
    <row r="26" spans="1:17" s="14" customFormat="1" x14ac:dyDescent="0.2">
      <c r="B26" s="62"/>
      <c r="C26" s="50">
        <f>B27-B25</f>
        <v>9.7100000000064028</v>
      </c>
      <c r="D26" s="50"/>
      <c r="E26" s="57">
        <f>ROUNDUP((D27+D25)/2*C26/27,0)</f>
        <v>19</v>
      </c>
      <c r="F26" s="151"/>
      <c r="G26" s="57">
        <f>ROUNDUP((F27+F25)/2*C26/27,0)</f>
        <v>2</v>
      </c>
      <c r="H26" s="50"/>
      <c r="I26" s="63">
        <f>ROUNDUP((H27+H25)/2*C26/9,0)</f>
        <v>11</v>
      </c>
      <c r="J26" s="64"/>
      <c r="K26" s="75"/>
      <c r="L26" s="76">
        <f t="shared" ref="L26" si="8">ROUNDUP((K29+K25)/2*C26/9,0)</f>
        <v>0</v>
      </c>
      <c r="M26" s="59"/>
      <c r="P26" s="101"/>
      <c r="Q26" s="100"/>
    </row>
    <row r="27" spans="1:17" s="14" customFormat="1" x14ac:dyDescent="0.2">
      <c r="B27" s="152">
        <v>118759.71</v>
      </c>
      <c r="C27" s="50"/>
      <c r="D27" s="148">
        <v>60</v>
      </c>
      <c r="E27" s="57"/>
      <c r="F27" s="151">
        <v>0</v>
      </c>
      <c r="G27" s="57"/>
      <c r="H27" s="50">
        <v>0</v>
      </c>
      <c r="I27" s="63"/>
      <c r="J27" s="64"/>
      <c r="K27" s="75"/>
      <c r="L27" s="76"/>
      <c r="P27" s="101"/>
      <c r="Q27" s="100"/>
    </row>
    <row r="28" spans="1:17" s="14" customFormat="1" x14ac:dyDescent="0.2">
      <c r="B28" s="62"/>
      <c r="C28" s="50">
        <f>B29-B27</f>
        <v>32.589999999996508</v>
      </c>
      <c r="D28" s="50"/>
      <c r="E28" s="57">
        <f>ROUNDUP((D29+D27)/2*C28/27,0)</f>
        <v>66</v>
      </c>
      <c r="F28" s="50"/>
      <c r="G28" s="57">
        <f>ROUNDUP((F29+F27)/2*C28/27,0)</f>
        <v>8</v>
      </c>
      <c r="H28" s="50"/>
      <c r="I28" s="63">
        <f>ROUNDUP((H29+H27)/2*C28/9,0)</f>
        <v>54</v>
      </c>
      <c r="J28" s="64"/>
      <c r="K28" s="75"/>
      <c r="L28" s="76" t="e">
        <f>ROUNDUP((#REF!+K27)/2*C28/9,0)</f>
        <v>#REF!</v>
      </c>
      <c r="M28" s="59"/>
      <c r="P28" s="101"/>
      <c r="Q28" s="100"/>
    </row>
    <row r="29" spans="1:17" s="14" customFormat="1" ht="13.5" thickBot="1" x14ac:dyDescent="0.25">
      <c r="A29" s="65"/>
      <c r="B29" s="62">
        <v>118792.3</v>
      </c>
      <c r="C29" s="50"/>
      <c r="D29" s="50">
        <v>47.852400000000003</v>
      </c>
      <c r="E29" s="57"/>
      <c r="F29" s="50">
        <f>6.7516+5.9888</f>
        <v>12.740400000000001</v>
      </c>
      <c r="G29" s="57"/>
      <c r="H29" s="50">
        <v>29.462399999999999</v>
      </c>
      <c r="I29" s="63"/>
      <c r="J29" s="64"/>
      <c r="K29" s="75"/>
      <c r="L29" s="76"/>
      <c r="P29" s="102" t="s">
        <v>24</v>
      </c>
      <c r="Q29" s="103">
        <f>(E57-G57)*0.002</f>
        <v>1.01</v>
      </c>
    </row>
    <row r="30" spans="1:17" s="14" customFormat="1" x14ac:dyDescent="0.2">
      <c r="A30" s="65"/>
      <c r="B30" s="62"/>
      <c r="C30" s="50"/>
      <c r="D30" s="50"/>
      <c r="E30" s="57"/>
      <c r="F30" s="50"/>
      <c r="G30" s="57"/>
      <c r="H30" s="50"/>
      <c r="I30" s="63"/>
      <c r="J30" s="64"/>
      <c r="K30" s="75"/>
      <c r="L30" s="76"/>
      <c r="P30" s="65"/>
    </row>
    <row r="31" spans="1:17" s="14" customFormat="1" x14ac:dyDescent="0.2">
      <c r="B31" s="90"/>
      <c r="C31" s="91"/>
      <c r="D31" s="91"/>
      <c r="E31" s="86"/>
      <c r="F31" s="91"/>
      <c r="G31" s="86"/>
      <c r="H31" s="91"/>
      <c r="I31" s="87"/>
      <c r="J31" s="64"/>
      <c r="K31" s="75"/>
      <c r="L31" s="76"/>
    </row>
    <row r="32" spans="1:17" s="14" customFormat="1" x14ac:dyDescent="0.2">
      <c r="B32" s="90"/>
      <c r="C32" s="91"/>
      <c r="D32" s="91"/>
      <c r="E32" s="86"/>
      <c r="F32" s="91"/>
      <c r="G32" s="86"/>
      <c r="H32" s="91"/>
      <c r="I32" s="87"/>
      <c r="J32" s="64"/>
      <c r="K32" s="75"/>
      <c r="L32" s="76">
        <f t="shared" ref="L32" si="9">ROUNDUP((K33+K31)/2*C32/9,0)</f>
        <v>0</v>
      </c>
      <c r="M32" s="59"/>
    </row>
    <row r="33" spans="1:16" s="14" customFormat="1" x14ac:dyDescent="0.2">
      <c r="A33" s="65"/>
      <c r="B33" s="90"/>
      <c r="C33" s="91"/>
      <c r="D33" s="91"/>
      <c r="E33" s="86"/>
      <c r="F33" s="91"/>
      <c r="G33" s="86"/>
      <c r="H33" s="91"/>
      <c r="I33" s="87"/>
      <c r="J33" s="64"/>
      <c r="K33" s="75"/>
      <c r="L33" s="76"/>
      <c r="P33" s="65"/>
    </row>
    <row r="34" spans="1:16" s="14" customFormat="1" x14ac:dyDescent="0.2">
      <c r="A34" s="65"/>
      <c r="B34" s="62"/>
      <c r="C34" s="50"/>
      <c r="D34" s="50"/>
      <c r="E34" s="57"/>
      <c r="F34" s="50"/>
      <c r="G34" s="57"/>
      <c r="H34" s="50"/>
      <c r="I34" s="63"/>
      <c r="J34" s="64"/>
      <c r="K34" s="75"/>
      <c r="L34" s="76">
        <f>ROUNDUP((K41+K33)/2*C34/9,0)</f>
        <v>0</v>
      </c>
      <c r="P34" s="65"/>
    </row>
    <row r="35" spans="1:16" s="14" customFormat="1" x14ac:dyDescent="0.2">
      <c r="A35" s="89">
        <v>26.04</v>
      </c>
      <c r="B35" s="62">
        <v>11324.56</v>
      </c>
      <c r="C35" s="50"/>
      <c r="D35" s="50">
        <v>0</v>
      </c>
      <c r="E35" s="57"/>
      <c r="F35" s="50">
        <v>0</v>
      </c>
      <c r="G35" s="57"/>
      <c r="H35" s="50">
        <v>0</v>
      </c>
      <c r="I35" s="63"/>
      <c r="J35" s="64"/>
      <c r="K35" s="75"/>
      <c r="L35" s="76"/>
    </row>
    <row r="36" spans="1:16" s="14" customFormat="1" x14ac:dyDescent="0.2">
      <c r="B36" s="62"/>
      <c r="C36" s="50">
        <f t="shared" ref="C36" si="10">B37-B35</f>
        <v>25.440000000000509</v>
      </c>
      <c r="D36" s="50"/>
      <c r="E36" s="57">
        <f>ROUND((D37+D35)/2*C36/27,0)</f>
        <v>0</v>
      </c>
      <c r="F36" s="50"/>
      <c r="G36" s="57">
        <f>ROUNDUP((F37+F35)/2*C36/27,0)</f>
        <v>1</v>
      </c>
      <c r="H36" s="50"/>
      <c r="I36" s="63">
        <f t="shared" ref="I36" si="11">ROUNDUP((H37+H35)/2*C36/9,0)</f>
        <v>9</v>
      </c>
      <c r="J36" s="64"/>
      <c r="K36" s="75"/>
      <c r="L36" s="76">
        <f t="shared" ref="L36" si="12">ROUNDUP((K37+K35)/2*C36/9,0)</f>
        <v>0</v>
      </c>
      <c r="M36" s="59"/>
    </row>
    <row r="37" spans="1:16" s="14" customFormat="1" x14ac:dyDescent="0.2">
      <c r="A37" s="65"/>
      <c r="B37" s="62">
        <v>11350</v>
      </c>
      <c r="C37" s="50"/>
      <c r="D37" s="50">
        <v>3.0000000000000001E-3</v>
      </c>
      <c r="E37" s="57"/>
      <c r="F37" s="50">
        <f>0.7908</f>
        <v>0.79079999999999995</v>
      </c>
      <c r="G37" s="57"/>
      <c r="H37" s="50">
        <v>5.8963999999999999</v>
      </c>
      <c r="I37" s="63"/>
      <c r="J37" s="64"/>
      <c r="K37" s="75"/>
      <c r="L37" s="76"/>
      <c r="P37" s="65"/>
    </row>
    <row r="38" spans="1:16" s="14" customFormat="1" x14ac:dyDescent="0.2">
      <c r="A38" s="65"/>
      <c r="B38" s="62"/>
      <c r="C38" s="50">
        <f>B39-B37</f>
        <v>26.909999999999854</v>
      </c>
      <c r="D38" s="50"/>
      <c r="E38" s="57">
        <f>ROUNDUP((D39+D37)/2*C38/27,0)</f>
        <v>1</v>
      </c>
      <c r="F38" s="50"/>
      <c r="G38" s="57">
        <f>ROUNDUP((F39+F37)/2*C38/27,0)</f>
        <v>3</v>
      </c>
      <c r="H38" s="50"/>
      <c r="I38" s="63">
        <f>ROUNDUP((H39+H37)/2*C38/9,0)</f>
        <v>21</v>
      </c>
      <c r="J38" s="64"/>
      <c r="K38" s="75"/>
      <c r="L38" s="76">
        <f t="shared" ref="L38" si="13">ROUNDUP((K41+K37)/2*C38/9,0)</f>
        <v>0</v>
      </c>
      <c r="P38" s="65"/>
    </row>
    <row r="39" spans="1:16" s="14" customFormat="1" x14ac:dyDescent="0.2">
      <c r="A39" s="65"/>
      <c r="B39" s="62">
        <v>11376.91</v>
      </c>
      <c r="C39" s="50"/>
      <c r="D39" s="50">
        <v>0</v>
      </c>
      <c r="E39" s="57"/>
      <c r="F39" s="50">
        <v>3.5901999999999998</v>
      </c>
      <c r="G39" s="57"/>
      <c r="H39" s="50">
        <v>7.9835000000000003</v>
      </c>
      <c r="I39" s="63"/>
      <c r="J39" s="64"/>
      <c r="K39" s="75"/>
      <c r="L39" s="76"/>
      <c r="P39" s="65"/>
    </row>
    <row r="40" spans="1:16" s="14" customFormat="1" x14ac:dyDescent="0.2">
      <c r="A40" s="65"/>
      <c r="B40" s="62"/>
      <c r="C40" s="50">
        <f>B41-B39</f>
        <v>23.090000000000146</v>
      </c>
      <c r="D40" s="50"/>
      <c r="E40" s="57">
        <f>ROUNDUP((D41+D39)/2*C40/27,0)</f>
        <v>1</v>
      </c>
      <c r="F40" s="50"/>
      <c r="G40" s="57">
        <f>ROUNDUP((F41+F39)/2*C40/27,0)</f>
        <v>5</v>
      </c>
      <c r="H40" s="50"/>
      <c r="I40" s="63">
        <f>ROUNDUP((H41+H39)/2*C40/9,0)</f>
        <v>61</v>
      </c>
      <c r="J40" s="64"/>
      <c r="K40" s="75"/>
      <c r="L40" s="76">
        <f t="shared" ref="L40" si="14">ROUNDUP((K43+K39)/2*C40/9,0)</f>
        <v>0</v>
      </c>
      <c r="P40" s="65"/>
    </row>
    <row r="41" spans="1:16" s="14" customFormat="1" x14ac:dyDescent="0.2">
      <c r="A41" s="89"/>
      <c r="B41" s="62">
        <v>11400</v>
      </c>
      <c r="C41" s="50"/>
      <c r="D41" s="50">
        <f>1.3774</f>
        <v>1.3774</v>
      </c>
      <c r="E41" s="57"/>
      <c r="F41" s="50">
        <f>5.9911+0.0063</f>
        <v>5.9974000000000007</v>
      </c>
      <c r="G41" s="57"/>
      <c r="H41" s="50">
        <f>18.692+20.266</f>
        <v>38.957999999999998</v>
      </c>
      <c r="I41" s="63"/>
      <c r="J41" s="64"/>
      <c r="K41" s="75"/>
      <c r="L41" s="76"/>
    </row>
    <row r="42" spans="1:16" s="14" customFormat="1" x14ac:dyDescent="0.2">
      <c r="B42" s="62"/>
      <c r="C42" s="50">
        <f>B43-B41</f>
        <v>15.639999999999418</v>
      </c>
      <c r="D42" s="50"/>
      <c r="E42" s="57">
        <f>ROUNDUP((D43+D41)/2*C42/27,0)</f>
        <v>14</v>
      </c>
      <c r="F42" s="50"/>
      <c r="G42" s="57">
        <f>ROUNDUP((F43+F41)/2*C42/27,0)</f>
        <v>8</v>
      </c>
      <c r="H42" s="50"/>
      <c r="I42" s="63">
        <f>ROUNDUP((H43+H41)/2*C42/9,0)</f>
        <v>51</v>
      </c>
      <c r="J42" s="64"/>
      <c r="K42" s="75"/>
      <c r="L42" s="76">
        <f>ROUNDUP((K45+K41)/2*C42/9,0)</f>
        <v>0</v>
      </c>
      <c r="M42" s="59"/>
    </row>
    <row r="43" spans="1:16" s="14" customFormat="1" x14ac:dyDescent="0.2">
      <c r="A43" s="89"/>
      <c r="B43" s="62">
        <v>11415.64</v>
      </c>
      <c r="C43" s="50"/>
      <c r="D43" s="50">
        <v>44.165999999999997</v>
      </c>
      <c r="E43" s="57"/>
      <c r="F43" s="50">
        <f>7.8561+13.4183</f>
        <v>21.2744</v>
      </c>
      <c r="G43" s="57"/>
      <c r="H43" s="50">
        <f>3.1218+16.5374</f>
        <v>19.659200000000002</v>
      </c>
      <c r="I43" s="63"/>
      <c r="J43" s="64"/>
      <c r="K43" s="75"/>
      <c r="L43" s="76"/>
    </row>
    <row r="44" spans="1:16" s="14" customFormat="1" x14ac:dyDescent="0.2">
      <c r="B44" s="62"/>
      <c r="C44" s="50">
        <f>B45-B43</f>
        <v>36.239999999999782</v>
      </c>
      <c r="D44" s="50"/>
      <c r="E44" s="57">
        <f>ROUNDUP((D45+D43)/2*C44/27,0)</f>
        <v>48</v>
      </c>
      <c r="F44" s="50"/>
      <c r="G44" s="57">
        <f>ROUNDUP((F45+F43)/2*C44/27,0)</f>
        <v>23</v>
      </c>
      <c r="H44" s="50"/>
      <c r="I44" s="63">
        <f>ROUNDUP((H45+H43)/2*C44/9,0)</f>
        <v>81</v>
      </c>
      <c r="J44" s="64"/>
      <c r="K44" s="75"/>
      <c r="L44" s="76">
        <f>ROUNDUP((K47+K43)/2*C44/9,0)</f>
        <v>0</v>
      </c>
      <c r="M44" s="59"/>
    </row>
    <row r="45" spans="1:16" s="14" customFormat="1" x14ac:dyDescent="0.2">
      <c r="A45" s="65"/>
      <c r="B45" s="62">
        <v>11451.88</v>
      </c>
      <c r="C45" s="50"/>
      <c r="D45" s="50">
        <v>26.4285</v>
      </c>
      <c r="E45" s="57"/>
      <c r="F45" s="50">
        <f>9.6329+2.114</f>
        <v>11.7469</v>
      </c>
      <c r="G45" s="57"/>
      <c r="H45" s="50">
        <f>5.518+14.7119</f>
        <v>20.229900000000001</v>
      </c>
      <c r="I45" s="63"/>
      <c r="J45" s="64"/>
      <c r="K45" s="75"/>
      <c r="L45" s="76"/>
      <c r="P45" s="65"/>
    </row>
    <row r="46" spans="1:16" s="14" customFormat="1" x14ac:dyDescent="0.2">
      <c r="A46" s="65"/>
      <c r="B46" s="62"/>
      <c r="C46" s="50">
        <f>B47-B45</f>
        <v>20</v>
      </c>
      <c r="D46" s="50"/>
      <c r="E46" s="57">
        <f>ROUNDUP((D47+D45)/2*C46/27,0)</f>
        <v>32</v>
      </c>
      <c r="F46" s="50"/>
      <c r="G46" s="57">
        <f>ROUNDUP((F47+F45)/2*C46/27,0)</f>
        <v>23</v>
      </c>
      <c r="H46" s="50"/>
      <c r="I46" s="63">
        <f>ROUNDUP((H47+H45)/2*C46/9,0)</f>
        <v>53</v>
      </c>
      <c r="J46" s="64"/>
      <c r="K46" s="75"/>
      <c r="L46" s="76">
        <f t="shared" ref="L46" si="15">ROUNDUP((K47+K45)/2*C46/9,0)</f>
        <v>0</v>
      </c>
      <c r="P46" s="65"/>
    </row>
    <row r="47" spans="1:16" s="14" customFormat="1" x14ac:dyDescent="0.2">
      <c r="A47" s="65"/>
      <c r="B47" s="62">
        <v>11471.88</v>
      </c>
      <c r="C47" s="50"/>
      <c r="D47" s="50">
        <v>59.156500000000001</v>
      </c>
      <c r="E47" s="57"/>
      <c r="F47" s="50">
        <f>33.8589+16.4082</f>
        <v>50.267099999999999</v>
      </c>
      <c r="G47" s="57"/>
      <c r="H47" s="50">
        <v>27.2761</v>
      </c>
      <c r="I47" s="63"/>
      <c r="J47" s="64"/>
      <c r="K47" s="75"/>
      <c r="L47" s="76"/>
      <c r="P47" s="65"/>
    </row>
    <row r="48" spans="1:16" s="14" customFormat="1" x14ac:dyDescent="0.2">
      <c r="A48" s="65"/>
      <c r="B48" s="109"/>
      <c r="C48" s="110"/>
      <c r="D48" s="110"/>
      <c r="E48" s="92"/>
      <c r="F48" s="110"/>
      <c r="G48" s="92"/>
      <c r="H48" s="110"/>
      <c r="I48" s="93"/>
      <c r="J48" s="64"/>
      <c r="K48" s="75"/>
      <c r="L48" s="76">
        <f t="shared" ref="L48" si="16">ROUNDUP((K49+K47)/2*C48/9,0)</f>
        <v>0</v>
      </c>
      <c r="P48" s="65"/>
    </row>
    <row r="49" spans="2:13" s="14" customFormat="1" x14ac:dyDescent="0.2">
      <c r="B49" s="62">
        <v>11530.34</v>
      </c>
      <c r="C49" s="50"/>
      <c r="D49" s="50">
        <v>59.457999999999998</v>
      </c>
      <c r="E49" s="57"/>
      <c r="F49" s="50">
        <f>24.7725+28.0752</f>
        <v>52.847700000000003</v>
      </c>
      <c r="G49" s="57"/>
      <c r="H49" s="50">
        <v>29.1752</v>
      </c>
      <c r="I49" s="63"/>
      <c r="J49" s="64"/>
      <c r="K49" s="75"/>
      <c r="L49" s="76"/>
    </row>
    <row r="50" spans="2:13" s="14" customFormat="1" ht="15" x14ac:dyDescent="0.25">
      <c r="B50" s="66"/>
      <c r="C50" s="50">
        <f>B51-B49</f>
        <v>20</v>
      </c>
      <c r="D50" s="24"/>
      <c r="E50" s="58">
        <f t="shared" ref="E50:E52" si="17">ROUNDUP((D51+D49)/2*C50/27,0)</f>
        <v>33</v>
      </c>
      <c r="F50" s="22"/>
      <c r="G50" s="57">
        <f>ROUNDUP((F51+F49)/2*C50/27,0)</f>
        <v>22</v>
      </c>
      <c r="H50" s="22"/>
      <c r="I50" s="67">
        <f t="shared" si="2"/>
        <v>49</v>
      </c>
      <c r="J50" s="64"/>
      <c r="K50" s="68"/>
      <c r="L50" s="76">
        <f t="shared" ref="L50:L52" si="18">ROUNDUP((K51+K49)/2*C50/9,0)</f>
        <v>0</v>
      </c>
    </row>
    <row r="51" spans="2:13" s="14" customFormat="1" x14ac:dyDescent="0.2">
      <c r="B51" s="62">
        <v>11550.34</v>
      </c>
      <c r="C51" s="50"/>
      <c r="D51" s="50">
        <v>28.979199999999999</v>
      </c>
      <c r="E51" s="58"/>
      <c r="F51" s="50">
        <f>4.2316+2.0956</f>
        <v>6.3272000000000004</v>
      </c>
      <c r="G51" s="57"/>
      <c r="H51" s="50">
        <v>14.459099999999999</v>
      </c>
      <c r="I51" s="67"/>
      <c r="J51" s="64"/>
      <c r="K51" s="75"/>
      <c r="L51" s="76"/>
    </row>
    <row r="52" spans="2:13" s="14" customFormat="1" x14ac:dyDescent="0.2">
      <c r="B52" s="62"/>
      <c r="C52" s="50">
        <f>B53-B51</f>
        <v>49.930000000000291</v>
      </c>
      <c r="D52" s="50"/>
      <c r="E52" s="58">
        <f t="shared" si="17"/>
        <v>72</v>
      </c>
      <c r="F52" s="50"/>
      <c r="G52" s="57">
        <f>ROUNDUP((F53+F51)/2*C52/27,0)</f>
        <v>10</v>
      </c>
      <c r="H52" s="50"/>
      <c r="I52" s="67">
        <f>ROUNDUP((H53+H51)/2*C52/9,0)</f>
        <v>73</v>
      </c>
      <c r="J52" s="64"/>
      <c r="K52" s="74"/>
      <c r="L52" s="76">
        <f t="shared" si="18"/>
        <v>0</v>
      </c>
    </row>
    <row r="53" spans="2:13" s="14" customFormat="1" x14ac:dyDescent="0.2">
      <c r="B53" s="62">
        <v>11600.27</v>
      </c>
      <c r="C53" s="50"/>
      <c r="D53" s="50">
        <v>48.343200000000003</v>
      </c>
      <c r="E53" s="58"/>
      <c r="F53" s="50">
        <f>1.8985+1.8803</f>
        <v>3.7788000000000004</v>
      </c>
      <c r="G53" s="57"/>
      <c r="H53" s="50">
        <v>11.511100000000001</v>
      </c>
      <c r="I53" s="67"/>
      <c r="J53" s="64"/>
      <c r="K53" s="75"/>
      <c r="L53" s="76"/>
    </row>
    <row r="54" spans="2:13" s="14" customFormat="1" x14ac:dyDescent="0.2">
      <c r="B54" s="62"/>
      <c r="C54" s="50"/>
      <c r="D54" s="50"/>
      <c r="E54" s="57"/>
      <c r="F54" s="50"/>
      <c r="G54" s="57"/>
      <c r="H54" s="50"/>
      <c r="I54" s="63"/>
      <c r="J54" s="64"/>
      <c r="K54" s="104"/>
      <c r="L54" s="105"/>
    </row>
    <row r="55" spans="2:13" s="14" customFormat="1" x14ac:dyDescent="0.2">
      <c r="B55" s="62"/>
      <c r="C55" s="50"/>
      <c r="D55" s="50"/>
      <c r="E55" s="57"/>
      <c r="F55" s="50"/>
      <c r="G55" s="57"/>
      <c r="H55" s="50"/>
      <c r="I55" s="63"/>
      <c r="J55" s="64"/>
      <c r="K55" s="104"/>
      <c r="L55" s="105"/>
    </row>
    <row r="56" spans="2:13" s="14" customFormat="1" x14ac:dyDescent="0.2">
      <c r="B56" s="62"/>
      <c r="C56" s="50"/>
      <c r="D56" s="50"/>
      <c r="E56" s="57"/>
      <c r="F56" s="50"/>
      <c r="G56" s="57"/>
      <c r="H56" s="50"/>
      <c r="I56" s="63"/>
      <c r="J56" s="64"/>
      <c r="K56" s="104"/>
      <c r="L56" s="105"/>
    </row>
    <row r="57" spans="2:13" ht="26.25" customHeight="1" thickBot="1" x14ac:dyDescent="0.25">
      <c r="B57" s="145" t="s">
        <v>65</v>
      </c>
      <c r="C57" s="146"/>
      <c r="D57" s="54"/>
      <c r="E57" s="56">
        <f>SUM(E4:E53)</f>
        <v>820</v>
      </c>
      <c r="F57" s="55"/>
      <c r="G57" s="56">
        <f>SUM(G4:G53)</f>
        <v>315</v>
      </c>
      <c r="H57" s="83"/>
      <c r="I57" s="84">
        <f>SUM(I3:I53)</f>
        <v>1277</v>
      </c>
      <c r="J57" s="60"/>
      <c r="K57" s="77" t="s">
        <v>68</v>
      </c>
      <c r="L57" s="78" t="e">
        <f>SUM(L3:L53)</f>
        <v>#REF!</v>
      </c>
      <c r="M57" s="61"/>
    </row>
    <row r="58" spans="2:13" ht="15" x14ac:dyDescent="0.25">
      <c r="B58" s="27"/>
      <c r="C58" s="28"/>
      <c r="D58" s="147"/>
      <c r="E58" s="147"/>
      <c r="F58" s="147"/>
      <c r="G58" s="147"/>
      <c r="H58" s="147"/>
      <c r="I58" s="147"/>
      <c r="K58" s="79"/>
      <c r="L58" s="80"/>
    </row>
    <row r="59" spans="2:13" ht="15" x14ac:dyDescent="0.25">
      <c r="B59" s="27"/>
      <c r="C59" s="28"/>
      <c r="E59" s="72"/>
      <c r="G59" s="72"/>
      <c r="I59" s="85"/>
    </row>
    <row r="60" spans="2:13" ht="15" x14ac:dyDescent="0.25">
      <c r="B60" s="34"/>
      <c r="C60" s="34"/>
      <c r="D60" s="34"/>
      <c r="E60" s="34"/>
    </row>
    <row r="61" spans="2:13" ht="15" x14ac:dyDescent="0.25">
      <c r="B61" s="30"/>
      <c r="C61" s="31"/>
    </row>
    <row r="62" spans="2:13" ht="15" x14ac:dyDescent="0.25">
      <c r="B62" s="33"/>
      <c r="C62" s="32"/>
    </row>
    <row r="63" spans="2:13" ht="15" x14ac:dyDescent="0.25">
      <c r="B63" s="35"/>
      <c r="C63" s="35"/>
    </row>
    <row r="64" spans="2:13" ht="15" x14ac:dyDescent="0.25">
      <c r="B64" s="36"/>
      <c r="C64" s="36"/>
      <c r="D64" s="34"/>
      <c r="E64" s="34"/>
    </row>
    <row r="65" spans="1:4" ht="15" x14ac:dyDescent="0.25">
      <c r="B65" s="30"/>
      <c r="C65" s="70"/>
    </row>
    <row r="66" spans="1:4" ht="15" x14ac:dyDescent="0.25">
      <c r="A66" t="s">
        <v>69</v>
      </c>
      <c r="B66" s="33"/>
      <c r="C66" s="32"/>
    </row>
    <row r="67" spans="1:4" ht="15" x14ac:dyDescent="0.25">
      <c r="B67" s="33"/>
      <c r="C67" s="32"/>
    </row>
    <row r="68" spans="1:4" ht="15" x14ac:dyDescent="0.25">
      <c r="A68" s="70" t="s">
        <v>70</v>
      </c>
      <c r="B68" s="71" t="s">
        <v>71</v>
      </c>
      <c r="C68" s="32"/>
    </row>
    <row r="69" spans="1:4" ht="15" x14ac:dyDescent="0.25">
      <c r="A69" s="32"/>
      <c r="B69" s="32"/>
      <c r="C69" s="32"/>
      <c r="D69" s="29"/>
    </row>
    <row r="70" spans="1:4" ht="15" x14ac:dyDescent="0.25">
      <c r="A70" s="32"/>
      <c r="B70" s="32"/>
      <c r="C70" s="37"/>
    </row>
    <row r="71" spans="1:4" ht="15" x14ac:dyDescent="0.25">
      <c r="A71" s="32"/>
      <c r="B71" s="32"/>
      <c r="C71" s="37"/>
    </row>
    <row r="72" spans="1:4" ht="15" x14ac:dyDescent="0.25">
      <c r="A72" s="32"/>
      <c r="B72" s="32"/>
      <c r="C72" s="37"/>
    </row>
    <row r="73" spans="1:4" ht="15" x14ac:dyDescent="0.25">
      <c r="B73" s="32"/>
      <c r="C73" s="37"/>
    </row>
    <row r="74" spans="1:4" ht="15" x14ac:dyDescent="0.25">
      <c r="B74" s="33"/>
      <c r="C74" s="32"/>
    </row>
    <row r="75" spans="1:4" ht="15" x14ac:dyDescent="0.25">
      <c r="A75" s="29" t="s">
        <v>72</v>
      </c>
      <c r="B75" s="30"/>
      <c r="C75" s="31"/>
    </row>
    <row r="76" spans="1:4" ht="15" x14ac:dyDescent="0.25">
      <c r="B76" s="30"/>
      <c r="C76" s="31"/>
    </row>
    <row r="77" spans="1:4" x14ac:dyDescent="0.2">
      <c r="A77" s="29" t="s">
        <v>70</v>
      </c>
      <c r="B77" s="29" t="s">
        <v>73</v>
      </c>
    </row>
    <row r="82" spans="1:2" x14ac:dyDescent="0.2">
      <c r="B82" s="72"/>
    </row>
    <row r="84" spans="1:2" x14ac:dyDescent="0.2">
      <c r="A84" s="29" t="s">
        <v>74</v>
      </c>
    </row>
    <row r="86" spans="1:2" x14ac:dyDescent="0.2">
      <c r="A86" s="29" t="s">
        <v>75</v>
      </c>
      <c r="B86" s="29" t="s">
        <v>76</v>
      </c>
    </row>
    <row r="91" spans="1:2" x14ac:dyDescent="0.2">
      <c r="B91" s="72"/>
    </row>
  </sheetData>
  <mergeCells count="3">
    <mergeCell ref="B1:I1"/>
    <mergeCell ref="B57:C57"/>
    <mergeCell ref="D58:I58"/>
  </mergeCells>
  <pageMargins left="0.7" right="0.7" top="0.75" bottom="0.75" header="0.3" footer="0.3"/>
  <pageSetup paperSize="3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SUBSM1</vt:lpstr>
      <vt:lpstr>EARTHWORK</vt:lpstr>
      <vt:lpstr>EARTHWORK!Print_Area</vt:lpstr>
      <vt:lpstr>SUBSM1!Print_Area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v10.10.15</dc:title>
  <dc:creator>ODOT Office of Production</dc:creator>
  <cp:lastModifiedBy>Brown, Jasmine</cp:lastModifiedBy>
  <cp:lastPrinted>2024-05-10T14:43:45Z</cp:lastPrinted>
  <dcterms:created xsi:type="dcterms:W3CDTF">2007-01-18T14:43:23Z</dcterms:created>
  <dcterms:modified xsi:type="dcterms:W3CDTF">2025-05-06T16:44:56Z</dcterms:modified>
</cp:coreProperties>
</file>